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土地案例"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1" i="40" l="1"/>
  <c r="I16" i="74"/>
  <c r="H16" i="74"/>
  <c r="C16" i="74"/>
  <c r="B16" i="74"/>
  <c r="I15" i="74"/>
  <c r="H15" i="74"/>
  <c r="C15" i="74"/>
  <c r="B15" i="74"/>
  <c r="D16" i="74" l="1"/>
  <c r="G16" i="74" l="1"/>
  <c r="D15" i="74" l="1"/>
  <c r="G15" i="74" l="1"/>
  <c r="I41" i="40" l="1"/>
  <c r="G41" i="40"/>
  <c r="E41" i="40"/>
  <c r="AN4" i="78"/>
  <c r="AN3" i="78"/>
  <c r="AN2" i="78"/>
  <c r="F19" i="6"/>
  <c r="I16" i="3"/>
  <c r="E109" i="40" l="1"/>
  <c r="F109" i="40" s="1"/>
  <c r="G109" i="40" s="1"/>
  <c r="H109" i="40" s="1"/>
  <c r="D109" i="40"/>
  <c r="I34" i="40"/>
  <c r="G34" i="40"/>
  <c r="E34" i="40"/>
  <c r="I11" i="40"/>
  <c r="G11" i="40"/>
  <c r="E11" i="40"/>
  <c r="C10" i="40"/>
  <c r="I7" i="40"/>
  <c r="G7" i="40"/>
  <c r="E7" i="40"/>
  <c r="I5" i="40"/>
  <c r="G5" i="40"/>
  <c r="E5" i="40"/>
  <c r="J52" i="15"/>
  <c r="J49" i="15"/>
  <c r="D3" i="77"/>
  <c r="D2" i="77"/>
  <c r="D1" i="77"/>
  <c r="C2" i="77"/>
  <c r="C1" i="77"/>
  <c r="O20" i="1"/>
  <c r="O19" i="1"/>
  <c r="L20" i="1"/>
  <c r="L19" i="1"/>
  <c r="B7" i="4"/>
  <c r="D3" i="4"/>
  <c r="D5" i="43" l="1"/>
  <c r="C41" i="43" l="1"/>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A13" i="62"/>
  <c r="B59" i="72" s="1"/>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58" i="72"/>
  <c r="B66" i="72"/>
  <c r="B12" i="72"/>
  <c r="B10" i="72"/>
  <c r="C53" i="10"/>
  <c r="B51" i="10"/>
  <c r="B19" i="72"/>
  <c r="A18" i="51"/>
  <c r="B13" i="72" s="1"/>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c r="B55" i="43"/>
  <c r="B66" i="43"/>
  <c r="C25" i="40"/>
  <c r="C29" i="39"/>
  <c r="S29" i="39"/>
  <c r="S18" i="36"/>
  <c r="U18" i="36"/>
  <c r="S21" i="34"/>
  <c r="F94" i="40"/>
  <c r="H25" i="40"/>
  <c r="AB25" i="40" s="1"/>
  <c r="G94" i="40"/>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M6" i="1" s="1"/>
  <c r="O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c r="G96" i="40"/>
  <c r="H96" i="40"/>
  <c r="I96" i="40"/>
  <c r="J96" i="40"/>
  <c r="K96" i="40"/>
  <c r="L96" i="40"/>
  <c r="M96" i="40"/>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Q33" i="40"/>
  <c r="Z33" i="40" s="1"/>
  <c r="Q32" i="40"/>
  <c r="Z32" i="40" s="1"/>
  <c r="Q31" i="40"/>
  <c r="Z31" i="40" s="1"/>
  <c r="Q30" i="40"/>
  <c r="Z30" i="40" s="1"/>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J15" i="40"/>
  <c r="W1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A118" i="9"/>
  <c r="A4" i="52"/>
  <c r="B41" i="72"/>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s="1"/>
  <c r="F30" i="40"/>
  <c r="AA30" i="40" s="1"/>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S35" i="40"/>
  <c r="W38" i="40"/>
  <c r="AA32" i="40"/>
  <c r="AC15" i="40"/>
  <c r="AB27"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c r="B3" i="3" s="1"/>
  <c r="E347" i="3" s="1"/>
  <c r="BA13" i="3"/>
  <c r="AZ13" i="3" s="1"/>
  <c r="E10" i="6"/>
  <c r="BA5" i="3"/>
  <c r="E11" i="6"/>
  <c r="E61" i="39" s="1"/>
  <c r="BL17" i="3"/>
  <c r="AZ17" i="3"/>
  <c r="BL13" i="3"/>
  <c r="E65" i="39"/>
  <c r="G30" i="6"/>
  <c r="G31" i="6" s="1"/>
  <c r="J56" i="9"/>
  <c r="J57" i="9"/>
  <c r="A24" i="51"/>
  <c r="B18" i="72"/>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M20" i="43" s="1"/>
  <c r="C19" i="43" s="1"/>
  <c r="C46" i="36"/>
  <c r="D46" i="36" s="1"/>
  <c r="C59" i="34"/>
  <c r="D59" i="34"/>
  <c r="C52" i="37"/>
  <c r="D52" i="37"/>
  <c r="A4" i="51"/>
  <c r="B6" i="72"/>
  <c r="C48" i="35"/>
  <c r="D48" i="35"/>
  <c r="C4" i="12"/>
  <c r="H62" i="43"/>
  <c r="H66" i="43"/>
  <c r="H61" i="43"/>
  <c r="H65" i="43"/>
  <c r="H60" i="43"/>
  <c r="H64" i="43"/>
  <c r="H59" i="43"/>
  <c r="H63" i="43"/>
  <c r="H67" i="43"/>
  <c r="H55" i="43"/>
  <c r="H51" i="43"/>
  <c r="H56" i="43"/>
  <c r="H76" i="43"/>
  <c r="H72" i="43"/>
  <c r="H77" i="43"/>
  <c r="L20" i="6"/>
  <c r="B6" i="1"/>
  <c r="E6" i="1" s="1"/>
  <c r="S8" i="1"/>
  <c r="AQ8" i="1" s="1"/>
  <c r="K11" i="1"/>
  <c r="M11" i="1" s="1"/>
  <c r="O11" i="1" s="1"/>
  <c r="AP6" i="1"/>
  <c r="B9" i="1"/>
  <c r="E9" i="1"/>
  <c r="K7" i="1"/>
  <c r="G1" i="15"/>
  <c r="G1" i="69"/>
  <c r="G1" i="67"/>
  <c r="U32" i="40"/>
  <c r="AB31" i="40"/>
  <c r="S37" i="40"/>
  <c r="AB28" i="40"/>
  <c r="W28" i="40"/>
  <c r="W19" i="40"/>
  <c r="W27" i="40"/>
  <c r="AC14" i="40"/>
  <c r="S13" i="40"/>
  <c r="S33" i="40"/>
  <c r="AA15" i="40"/>
  <c r="S31" i="40"/>
  <c r="AB13"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E63" i="39"/>
  <c r="T11" i="1"/>
  <c r="AR11" i="1"/>
  <c r="K15" i="1"/>
  <c r="T13" i="1"/>
  <c r="S7" i="1"/>
  <c r="T7" i="1" s="1"/>
  <c r="E7" i="70"/>
  <c r="AA39" i="40"/>
  <c r="S39" i="40"/>
  <c r="S12" i="33"/>
  <c r="AA12" i="33"/>
  <c r="C16"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83" i="3"/>
  <c r="X6" i="3"/>
  <c r="E399" i="3"/>
  <c r="E336" i="3"/>
  <c r="E280" i="3"/>
  <c r="E246" i="3"/>
  <c r="E124" i="3"/>
  <c r="E293" i="3"/>
  <c r="K14" i="1"/>
  <c r="M14" i="1" s="1"/>
  <c r="O14" i="1" s="1"/>
  <c r="J59" i="9"/>
  <c r="J61" i="9"/>
  <c r="E311" i="3"/>
  <c r="E358" i="3"/>
  <c r="E514" i="3"/>
  <c r="E559" i="3"/>
  <c r="E570" i="3"/>
  <c r="E551" i="3"/>
  <c r="M6" i="3"/>
  <c r="V6" i="3"/>
  <c r="AB6" i="3"/>
  <c r="E407" i="3"/>
  <c r="E387" i="3"/>
  <c r="E320" i="3"/>
  <c r="E335" i="3"/>
  <c r="E294" i="3"/>
  <c r="E231" i="3"/>
  <c r="E215" i="3"/>
  <c r="E298" i="3"/>
  <c r="E230" i="3"/>
  <c r="E216" i="3"/>
  <c r="E189" i="3"/>
  <c r="E169" i="3"/>
  <c r="E130" i="3"/>
  <c r="E185" i="3"/>
  <c r="E134"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C5" i="43"/>
  <c r="E52" i="37"/>
  <c r="F58" i="21"/>
  <c r="E48" i="35"/>
  <c r="F48" i="35"/>
  <c r="E59" i="34"/>
  <c r="C65" i="40"/>
  <c r="D63" i="40"/>
  <c r="AP7" i="1"/>
  <c r="C36" i="69" s="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11" i="43"/>
  <c r="V11" i="43" s="1"/>
  <c r="T16" i="43"/>
  <c r="V16" i="43" s="1"/>
  <c r="T14" i="43"/>
  <c r="V14" i="43" s="1"/>
  <c r="T12" i="43"/>
  <c r="V12" i="43" s="1"/>
  <c r="T9" i="43"/>
  <c r="V9" i="43" s="1"/>
  <c r="T8" i="43"/>
  <c r="V8" i="43" s="1"/>
  <c r="T15" i="43"/>
  <c r="V15" i="43" s="1"/>
  <c r="T13" i="43"/>
  <c r="V13" i="43" s="1"/>
  <c r="T10" i="43"/>
  <c r="V10" i="43" s="1"/>
  <c r="G58" i="21"/>
  <c r="H58" i="21" s="1"/>
  <c r="I58" i="21" s="1"/>
  <c r="E63" i="40"/>
  <c r="D65" i="40"/>
  <c r="F1" i="67"/>
  <c r="Q52" i="67"/>
  <c r="AC11" i="37"/>
  <c r="W11" i="37"/>
  <c r="W11" i="34"/>
  <c r="AC11" i="34"/>
  <c r="R7" i="1"/>
  <c r="C13" i="12"/>
  <c r="F34" i="11"/>
  <c r="F11" i="12"/>
  <c r="F34" i="68"/>
  <c r="F63" i="40"/>
  <c r="E65" i="40"/>
  <c r="R8" i="1"/>
  <c r="G63" i="40"/>
  <c r="F65" i="40"/>
  <c r="H63" i="40"/>
  <c r="G65" i="40"/>
  <c r="I63" i="40"/>
  <c r="H65" i="40"/>
  <c r="J63" i="40"/>
  <c r="I65" i="40"/>
  <c r="K63" i="40"/>
  <c r="L63" i="40" s="1"/>
  <c r="L65" i="40" s="1"/>
  <c r="J65" i="40"/>
  <c r="M63" i="40"/>
  <c r="M65" i="40" s="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P21" i="43"/>
  <c r="P22" i="43"/>
  <c r="P23" i="43"/>
  <c r="B71" i="39" s="1"/>
  <c r="P24" i="43"/>
  <c r="B66" i="40" s="1"/>
  <c r="P25" i="43"/>
  <c r="B7" i="49"/>
  <c r="B12" i="76"/>
  <c r="M28" i="67"/>
  <c r="M6" i="67"/>
  <c r="D4" i="73"/>
  <c r="E11" i="76"/>
  <c r="L48" i="15"/>
  <c r="B9" i="76"/>
  <c r="F9" i="67"/>
  <c r="F16" i="67"/>
  <c r="E8" i="76"/>
  <c r="F38" i="67"/>
  <c r="J15" i="15"/>
  <c r="M27" i="15"/>
  <c r="L48" i="67"/>
  <c r="M24" i="15"/>
  <c r="AO7" i="1"/>
  <c r="F6" i="15"/>
  <c r="AO10" i="1"/>
  <c r="M22" i="15"/>
  <c r="D5" i="73"/>
  <c r="M21" i="67"/>
  <c r="B10" i="76"/>
  <c r="M26" i="15"/>
  <c r="M9" i="15"/>
  <c r="D2" i="33"/>
  <c r="F42" i="15"/>
  <c r="D6" i="73"/>
  <c r="D2" i="36"/>
  <c r="D2" i="35"/>
  <c r="M29" i="67"/>
  <c r="F36" i="15"/>
  <c r="AO8" i="1"/>
  <c r="B8" i="76"/>
  <c r="AO9" i="1"/>
  <c r="E13" i="76"/>
  <c r="F37" i="67"/>
  <c r="M26" i="67"/>
  <c r="F6" i="73"/>
  <c r="D2" i="37"/>
  <c r="B11" i="76"/>
  <c r="F37" i="15"/>
  <c r="M22" i="67"/>
  <c r="M24" i="67"/>
  <c r="F7" i="67"/>
  <c r="C76" i="67"/>
  <c r="B13" i="76"/>
  <c r="F6" i="67"/>
  <c r="F40" i="15"/>
  <c r="F26" i="67"/>
  <c r="F4" i="73"/>
  <c r="E2" i="68"/>
  <c r="L47" i="15"/>
  <c r="M23" i="15"/>
  <c r="D2" i="21"/>
  <c r="M28" i="15"/>
  <c r="AO11" i="1"/>
  <c r="F41" i="67"/>
  <c r="M6" i="15"/>
  <c r="F7" i="73"/>
  <c r="F42" i="67"/>
  <c r="D3" i="73"/>
  <c r="M23" i="67"/>
  <c r="C76" i="15"/>
  <c r="F5" i="73"/>
  <c r="M29" i="15"/>
  <c r="M8" i="15"/>
  <c r="E10" i="76"/>
  <c r="F16" i="15"/>
  <c r="M9" i="67"/>
  <c r="E2" i="69"/>
  <c r="F13" i="67"/>
  <c r="D7" i="73"/>
  <c r="F8" i="15"/>
  <c r="F35" i="67"/>
  <c r="E7" i="76"/>
  <c r="B7" i="76"/>
  <c r="F9" i="15"/>
  <c r="F3" i="73"/>
  <c r="E9" i="76"/>
  <c r="AO13" i="1"/>
  <c r="F36" i="67"/>
  <c r="J15" i="67"/>
  <c r="F8" i="67"/>
  <c r="E12" i="76"/>
  <c r="F40" i="67"/>
  <c r="F43" i="67"/>
  <c r="AO12" i="1"/>
  <c r="F43" i="15"/>
  <c r="F7" i="15"/>
  <c r="M27" i="67"/>
  <c r="F26" i="15"/>
  <c r="M8" i="67"/>
  <c r="L47" i="67"/>
  <c r="D2" i="34"/>
  <c r="F38" i="15"/>
  <c r="F20" i="31"/>
  <c r="E7" i="49" l="1"/>
  <c r="B15" i="49"/>
  <c r="E10" i="49"/>
  <c r="B6" i="49"/>
  <c r="E14" i="49"/>
  <c r="E321" i="3"/>
  <c r="E380" i="3"/>
  <c r="E338" i="3"/>
  <c r="E439" i="3"/>
  <c r="E418" i="3"/>
  <c r="E538" i="3"/>
  <c r="E506" i="3"/>
  <c r="E561" i="3"/>
  <c r="E523" i="3"/>
  <c r="AR6" i="3"/>
  <c r="S6" i="3"/>
  <c r="E533" i="3"/>
  <c r="E390" i="3"/>
  <c r="E270" i="3"/>
  <c r="E128" i="3"/>
  <c r="E165" i="3"/>
  <c r="E205" i="3"/>
  <c r="E227" i="3"/>
  <c r="E352" i="3"/>
  <c r="E461" i="3"/>
  <c r="E510" i="3"/>
  <c r="AA6" i="3"/>
  <c r="G3" i="43"/>
  <c r="C11" i="40"/>
  <c r="BL5" i="3"/>
  <c r="F31" i="15"/>
  <c r="F36" i="40"/>
  <c r="J36" i="40"/>
  <c r="W36" i="40" s="1"/>
  <c r="F113" i="40"/>
  <c r="G113" i="40" s="1"/>
  <c r="H113" i="40" s="1"/>
  <c r="I113" i="40" s="1"/>
  <c r="J113" i="40" s="1"/>
  <c r="K113" i="40" s="1"/>
  <c r="L113" i="40" s="1"/>
  <c r="M113" i="40" s="1"/>
  <c r="H36" i="40"/>
  <c r="AB36" i="40" s="1"/>
  <c r="U36" i="40"/>
  <c r="W37" i="40"/>
  <c r="AB37" i="40"/>
  <c r="AC36" i="40"/>
  <c r="U35" i="40"/>
  <c r="W35" i="40"/>
  <c r="AC32" i="40"/>
  <c r="W32" i="40"/>
  <c r="S30" i="40"/>
  <c r="AB33" i="40"/>
  <c r="U25" i="40"/>
  <c r="W25" i="40"/>
  <c r="S25" i="40"/>
  <c r="F92" i="40"/>
  <c r="G92" i="40" s="1"/>
  <c r="J23" i="40"/>
  <c r="H23" i="40"/>
  <c r="AB23" i="40" s="1"/>
  <c r="F23" i="40"/>
  <c r="U23" i="40"/>
  <c r="F21" i="40"/>
  <c r="F90" i="40"/>
  <c r="G90" i="40" s="1"/>
  <c r="J21" i="40"/>
  <c r="W21" i="40" s="1"/>
  <c r="H21" i="40"/>
  <c r="AB21" i="40" s="1"/>
  <c r="U21" i="40"/>
  <c r="AA19" i="40"/>
  <c r="J17" i="40"/>
  <c r="F86" i="40"/>
  <c r="G86" i="40" s="1"/>
  <c r="H17" i="40"/>
  <c r="F17" i="40"/>
  <c r="AA17" i="40" s="1"/>
  <c r="S17" i="40"/>
  <c r="AC9" i="40"/>
  <c r="J53" i="15"/>
  <c r="F1" i="15" s="1"/>
  <c r="C94" i="9"/>
  <c r="C92" i="9"/>
  <c r="F32" i="15"/>
  <c r="F60" i="15" s="1"/>
  <c r="F31" i="12"/>
  <c r="C31" i="12" s="1"/>
  <c r="F54" i="9"/>
  <c r="F32" i="67"/>
  <c r="F60" i="67" s="1"/>
  <c r="F30" i="11"/>
  <c r="C48" i="11" s="1"/>
  <c r="M18" i="15"/>
  <c r="F30" i="69"/>
  <c r="F28" i="67"/>
  <c r="C28" i="67" s="1"/>
  <c r="F30" i="68"/>
  <c r="C36" i="11"/>
  <c r="D68" i="9"/>
  <c r="C24" i="12"/>
  <c r="F28" i="15"/>
  <c r="C28" i="15" s="1"/>
  <c r="M18" i="67"/>
  <c r="F52" i="9"/>
  <c r="D23" i="67"/>
  <c r="C34" i="69"/>
  <c r="C38" i="69" s="1"/>
  <c r="D19" i="12"/>
  <c r="C19" i="12" s="1"/>
  <c r="D9" i="69"/>
  <c r="C9" i="69" s="1"/>
  <c r="E12" i="6"/>
  <c r="E16" i="6" s="1"/>
  <c r="K16" i="1"/>
  <c r="L21" i="1" s="1"/>
  <c r="AR7" i="1"/>
  <c r="AQ7" i="1"/>
  <c r="L27" i="6"/>
  <c r="AZ5" i="3"/>
  <c r="E30" i="6"/>
  <c r="AC6" i="3"/>
  <c r="AT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9" i="3"/>
  <c r="E237" i="3"/>
  <c r="E114" i="3"/>
  <c r="E261" i="3"/>
  <c r="E278" i="3"/>
  <c r="E304" i="3"/>
  <c r="E415" i="3"/>
  <c r="E528" i="3"/>
  <c r="E563" i="3"/>
  <c r="E565" i="3"/>
  <c r="E395" i="3"/>
  <c r="E183" i="3"/>
  <c r="E172" i="3"/>
  <c r="E213" i="3"/>
  <c r="E260" i="3"/>
  <c r="E361" i="3"/>
  <c r="E445" i="3"/>
  <c r="E17" i="3"/>
  <c r="E550" i="3"/>
  <c r="E503" i="3"/>
  <c r="E535" i="3"/>
  <c r="E302" i="3"/>
  <c r="F27" i="6"/>
  <c r="F31" i="6" s="1"/>
  <c r="E56" i="39"/>
  <c r="E51" i="40"/>
  <c r="E567" i="3"/>
  <c r="E545" i="3"/>
  <c r="E539" i="3"/>
  <c r="E329" i="3"/>
  <c r="E59" i="40"/>
  <c r="P6" i="1"/>
  <c r="P14" i="1"/>
  <c r="O12" i="1"/>
  <c r="P12" i="1" s="1"/>
  <c r="M7" i="1"/>
  <c r="Q16" i="1"/>
  <c r="H16" i="1"/>
  <c r="P11" i="1"/>
  <c r="O9" i="1"/>
  <c r="P9" i="1" s="1"/>
  <c r="O8" i="1"/>
  <c r="P8" i="1" s="1"/>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T35" i="4"/>
  <c r="A19" i="51" s="1"/>
  <c r="B14" i="72" s="1"/>
  <c r="A15" i="62"/>
  <c r="B61" i="72" s="1"/>
  <c r="G16" i="1"/>
  <c r="F10" i="39" s="1"/>
  <c r="D12" i="52"/>
  <c r="D127" i="9"/>
  <c r="D13" i="52" s="1"/>
  <c r="E48" i="33"/>
  <c r="R49" i="33"/>
  <c r="G52" i="33"/>
  <c r="H52" i="33" s="1"/>
  <c r="J58" i="21"/>
  <c r="K58" i="21" s="1"/>
  <c r="L58" i="21" s="1"/>
  <c r="M58" i="21" s="1"/>
  <c r="N58" i="21" s="1"/>
  <c r="O58" i="21" s="1"/>
  <c r="J7" i="21"/>
  <c r="H7" i="21"/>
  <c r="F7" i="21"/>
  <c r="U7" i="33"/>
  <c r="AC7" i="33"/>
  <c r="V48" i="33" s="1"/>
  <c r="I48" i="33" s="1"/>
  <c r="G53" i="33" s="1"/>
  <c r="H53" i="33" s="1"/>
  <c r="N63" i="40"/>
  <c r="K65" i="40"/>
  <c r="G48" i="35"/>
  <c r="C70" i="39"/>
  <c r="D68" i="39"/>
  <c r="F59" i="34"/>
  <c r="F52" i="37"/>
  <c r="E46" i="36"/>
  <c r="C39" i="43"/>
  <c r="C37" i="43"/>
  <c r="C38" i="43"/>
  <c r="C35" i="43"/>
  <c r="C36" i="43"/>
  <c r="C34" i="43"/>
  <c r="C33" i="43"/>
  <c r="G33" i="43" s="1"/>
  <c r="I33" i="43" s="1"/>
  <c r="C23" i="12"/>
  <c r="E33"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D9" i="68"/>
  <c r="C36" i="68"/>
  <c r="F31" i="67"/>
  <c r="M17" i="67"/>
  <c r="M17" i="15"/>
  <c r="F59" i="67"/>
  <c r="F59" i="15"/>
  <c r="C14" i="67"/>
  <c r="C16" i="67"/>
  <c r="AE6" i="1"/>
  <c r="C17" i="67"/>
  <c r="C16" i="15"/>
  <c r="G1" i="73"/>
  <c r="H11" i="40" l="1"/>
  <c r="F11" i="40"/>
  <c r="J11" i="40"/>
  <c r="C3" i="77"/>
  <c r="D4" i="77" s="1"/>
  <c r="N6" i="1"/>
  <c r="Y6" i="1" s="1"/>
  <c r="C9" i="68"/>
  <c r="AA36" i="40"/>
  <c r="S36" i="40"/>
  <c r="AA23" i="40"/>
  <c r="S23" i="40"/>
  <c r="AC23" i="40"/>
  <c r="W23" i="40"/>
  <c r="AC21" i="40"/>
  <c r="AA21" i="40"/>
  <c r="S21" i="40"/>
  <c r="U17" i="40"/>
  <c r="AB17" i="40"/>
  <c r="W17" i="40"/>
  <c r="AC17" i="40"/>
  <c r="Q52" i="15"/>
  <c r="C30" i="11"/>
  <c r="C30" i="68"/>
  <c r="C48" i="68"/>
  <c r="C48" i="69"/>
  <c r="C30" i="69"/>
  <c r="C35" i="69"/>
  <c r="E57" i="40"/>
  <c r="E62" i="39"/>
  <c r="E66" i="39" s="1"/>
  <c r="AY6" i="3"/>
  <c r="E3" i="6"/>
  <c r="E27" i="6"/>
  <c r="E6" i="3"/>
  <c r="O7" i="1"/>
  <c r="O16" i="1" s="1"/>
  <c r="M16" i="1"/>
  <c r="F27" i="11"/>
  <c r="F27" i="69"/>
  <c r="F28" i="12"/>
  <c r="C29" i="12" s="1"/>
  <c r="D28" i="12" s="1"/>
  <c r="H107" i="43"/>
  <c r="H106" i="43"/>
  <c r="H105" i="43"/>
  <c r="H102" i="43"/>
  <c r="H104" i="43"/>
  <c r="H109" i="43"/>
  <c r="H103"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3" i="43"/>
  <c r="E106" i="43"/>
  <c r="M109" i="43"/>
  <c r="M104" i="43"/>
  <c r="M107" i="43"/>
  <c r="M105" i="43"/>
  <c r="M106" i="43"/>
  <c r="M102" i="43"/>
  <c r="M103" i="43"/>
  <c r="N103" i="43"/>
  <c r="N106" i="43"/>
  <c r="N107" i="43"/>
  <c r="N102" i="43"/>
  <c r="N105" i="43"/>
  <c r="N104" i="43"/>
  <c r="N109" i="43"/>
  <c r="K107" i="43"/>
  <c r="K104" i="43"/>
  <c r="K106" i="43"/>
  <c r="K103" i="43"/>
  <c r="K102" i="43"/>
  <c r="K105" i="43"/>
  <c r="K109"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F10" i="40"/>
  <c r="S10" i="40" s="1"/>
  <c r="J10" i="39"/>
  <c r="AC10" i="39" s="1"/>
  <c r="H10" i="40"/>
  <c r="H10" i="39"/>
  <c r="J10" i="40"/>
  <c r="B4" i="62"/>
  <c r="B71" i="72" s="1"/>
  <c r="K4" i="4"/>
  <c r="B46" i="48" s="1"/>
  <c r="B4" i="72" s="1"/>
  <c r="G36" i="43"/>
  <c r="I36" i="43" s="1"/>
  <c r="E36" i="43"/>
  <c r="G35" i="43"/>
  <c r="I35" i="43" s="1"/>
  <c r="E35" i="43"/>
  <c r="G37" i="43"/>
  <c r="I37" i="43" s="1"/>
  <c r="E37" i="43"/>
  <c r="S10" i="39"/>
  <c r="AA10" i="39"/>
  <c r="H48" i="35"/>
  <c r="O63" i="40"/>
  <c r="O65" i="40" s="1"/>
  <c r="N65" i="40"/>
  <c r="U7" i="21"/>
  <c r="AB7" i="21"/>
  <c r="T48" i="21" s="1"/>
  <c r="G48" i="21" s="1"/>
  <c r="C49" i="33"/>
  <c r="C48" i="33"/>
  <c r="G34" i="43"/>
  <c r="I34" i="43" s="1"/>
  <c r="E34" i="43"/>
  <c r="G38" i="43"/>
  <c r="I38" i="43" s="1"/>
  <c r="E38" i="43"/>
  <c r="G39" i="43"/>
  <c r="I39" i="43" s="1"/>
  <c r="E39" i="43"/>
  <c r="F46" i="36"/>
  <c r="G46" i="36" s="1"/>
  <c r="H46" i="36" s="1"/>
  <c r="I46" i="36" s="1"/>
  <c r="J46" i="36" s="1"/>
  <c r="K46" i="36" s="1"/>
  <c r="L46" i="36" s="1"/>
  <c r="M46" i="36" s="1"/>
  <c r="N46" i="36" s="1"/>
  <c r="O46" i="36" s="1"/>
  <c r="H7" i="36"/>
  <c r="F7" i="36"/>
  <c r="H7" i="37"/>
  <c r="G52" i="37"/>
  <c r="H52" i="37" s="1"/>
  <c r="I52" i="37" s="1"/>
  <c r="J52" i="37" s="1"/>
  <c r="K52" i="37" s="1"/>
  <c r="L52" i="37" s="1"/>
  <c r="M52" i="37" s="1"/>
  <c r="N52" i="37" s="1"/>
  <c r="O52" i="37" s="1"/>
  <c r="J7" i="37"/>
  <c r="G59" i="34"/>
  <c r="H59" i="34" s="1"/>
  <c r="I59" i="34" s="1"/>
  <c r="J59" i="34" s="1"/>
  <c r="K59" i="34" s="1"/>
  <c r="L59" i="34" s="1"/>
  <c r="M59" i="34" s="1"/>
  <c r="N59" i="34" s="1"/>
  <c r="O59" i="34" s="1"/>
  <c r="F7" i="34"/>
  <c r="H7" i="34"/>
  <c r="D70" i="39"/>
  <c r="E68" i="39"/>
  <c r="H7" i="40"/>
  <c r="J7" i="40"/>
  <c r="I52" i="33"/>
  <c r="J52" i="33" s="1"/>
  <c r="I53" i="33"/>
  <c r="J53" i="33" s="1"/>
  <c r="S7" i="21"/>
  <c r="AA7" i="21"/>
  <c r="R48" i="21" s="1"/>
  <c r="AC7" i="21"/>
  <c r="V48" i="21" s="1"/>
  <c r="I48" i="21" s="1"/>
  <c r="W7" i="21"/>
  <c r="F7" i="40"/>
  <c r="E53" i="33"/>
  <c r="F53" i="33" s="1"/>
  <c r="E52" i="33"/>
  <c r="F52" i="33" s="1"/>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F27" i="68"/>
  <c r="F41" i="15"/>
  <c r="F13" i="15"/>
  <c r="AA11" i="40" l="1"/>
  <c r="S11" i="40"/>
  <c r="W11" i="40"/>
  <c r="AC11" i="40"/>
  <c r="AB11" i="40"/>
  <c r="U11" i="40"/>
  <c r="AA10" i="40"/>
  <c r="F69" i="15"/>
  <c r="W10" i="39"/>
  <c r="D3" i="33"/>
  <c r="B2" i="33" s="1"/>
  <c r="B3" i="33" s="1"/>
  <c r="E6" i="6"/>
  <c r="L18" i="9"/>
  <c r="D3" i="34"/>
  <c r="C17" i="4"/>
  <c r="B4" i="52" s="1"/>
  <c r="B43" i="72" s="1"/>
  <c r="D3" i="37"/>
  <c r="D3" i="21"/>
  <c r="D37" i="11"/>
  <c r="C37" i="11" s="1"/>
  <c r="M18" i="9"/>
  <c r="B118" i="9" s="1"/>
  <c r="B14" i="74" s="1"/>
  <c r="B1" i="74" s="1"/>
  <c r="D19" i="11"/>
  <c r="C19" i="11" s="1"/>
  <c r="C20" i="11" s="1"/>
  <c r="D14" i="12"/>
  <c r="AY87" i="3"/>
  <c r="AY51" i="3"/>
  <c r="AY34" i="3"/>
  <c r="AY207" i="3"/>
  <c r="AY144" i="3"/>
  <c r="AY124" i="3"/>
  <c r="AY95" i="3"/>
  <c r="AY42" i="3"/>
  <c r="AY152" i="3"/>
  <c r="AY281" i="3"/>
  <c r="AY111" i="3"/>
  <c r="AY168" i="3"/>
  <c r="AY253" i="3"/>
  <c r="AY236" i="3"/>
  <c r="AY382"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83" i="3"/>
  <c r="AY23" i="3"/>
  <c r="AY155" i="3"/>
  <c r="AY59" i="3"/>
  <c r="AY131" i="3"/>
  <c r="AY58" i="3"/>
  <c r="AY268"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66" i="3"/>
  <c r="AY115" i="3"/>
  <c r="AY276" i="3"/>
  <c r="AY225" i="3"/>
  <c r="AY303" i="3"/>
  <c r="AY460" i="3"/>
  <c r="AY529" i="3"/>
  <c r="AY300" i="3"/>
  <c r="AY217" i="3"/>
  <c r="AY327" i="3"/>
  <c r="AY463" i="3"/>
  <c r="AY401" i="3"/>
  <c r="AY544" i="3"/>
  <c r="BE6" i="3"/>
  <c r="AY92" i="3"/>
  <c r="AY76" i="3"/>
  <c r="AY33" i="3"/>
  <c r="AY185"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6" i="3"/>
  <c r="AY188" i="3"/>
  <c r="AY297" i="3"/>
  <c r="AY366" i="3"/>
  <c r="AY473" i="3"/>
  <c r="AY441" i="3"/>
  <c r="AY26" i="3"/>
  <c r="AY260" i="3"/>
  <c r="AY372" i="3"/>
  <c r="AY310" i="3"/>
  <c r="AY420" i="3"/>
  <c r="AY549" i="3"/>
  <c r="AY533" i="3"/>
  <c r="AY97" i="3"/>
  <c r="AY61" i="3"/>
  <c r="AY44" i="3"/>
  <c r="AY190" i="3"/>
  <c r="AY154"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C34" i="40"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82" i="3"/>
  <c r="AY18" i="3"/>
  <c r="AY191" i="3"/>
  <c r="AY171" i="3"/>
  <c r="AY132" i="3"/>
  <c r="AY90" i="3"/>
  <c r="AY31" i="3"/>
  <c r="AY163" i="3"/>
  <c r="AY292" i="3"/>
  <c r="AY75" i="3"/>
  <c r="AY147" i="3"/>
  <c r="AY237" i="3"/>
  <c r="AY220" i="3"/>
  <c r="AY387" i="3"/>
  <c r="AY103" i="3"/>
  <c r="AY67" i="3"/>
  <c r="AY50" i="3"/>
  <c r="AY196" i="3"/>
  <c r="AY160" i="3"/>
  <c r="AY139" i="3"/>
  <c r="AY289" i="3"/>
  <c r="AY74" i="3"/>
  <c r="AY183" i="3"/>
  <c r="AY123" i="3"/>
  <c r="AY261" i="3"/>
  <c r="AY204" i="3"/>
  <c r="AY284" i="3"/>
  <c r="AY252" i="3"/>
  <c r="AY209" i="3"/>
  <c r="K20" i="6"/>
  <c r="M20" i="6" s="1"/>
  <c r="I20" i="6" s="1"/>
  <c r="K24" i="6"/>
  <c r="M24" i="6" s="1"/>
  <c r="I24" i="6" s="1"/>
  <c r="K19" i="6"/>
  <c r="S6" i="1" s="1"/>
  <c r="K26" i="6"/>
  <c r="M26" i="6" s="1"/>
  <c r="I26" i="6" s="1"/>
  <c r="E31" i="6"/>
  <c r="K22" i="6"/>
  <c r="M22" i="6" s="1"/>
  <c r="I22" i="6" s="1"/>
  <c r="K23" i="6"/>
  <c r="M23" i="6" s="1"/>
  <c r="I23" i="6" s="1"/>
  <c r="K21" i="6"/>
  <c r="M21" i="6" s="1"/>
  <c r="I21" i="6" s="1"/>
  <c r="K25" i="6"/>
  <c r="M25" i="6" s="1"/>
  <c r="I25" i="6" s="1"/>
  <c r="C47" i="11"/>
  <c r="D45" i="11" s="1"/>
  <c r="C29" i="11"/>
  <c r="D27" i="11" s="1"/>
  <c r="P7" i="1"/>
  <c r="P16" i="1" s="1"/>
  <c r="C11" i="12" s="1"/>
  <c r="C47" i="69"/>
  <c r="D45" i="69" s="1"/>
  <c r="C29" i="69"/>
  <c r="D27" i="69" s="1"/>
  <c r="C29" i="68"/>
  <c r="D27" i="68" s="1"/>
  <c r="C47" i="68"/>
  <c r="D45" i="68" s="1"/>
  <c r="C28" i="11"/>
  <c r="C27" i="11" s="1"/>
  <c r="N16" i="1"/>
  <c r="C34" i="11"/>
  <c r="L16" i="1"/>
  <c r="C115" i="43"/>
  <c r="D113" i="43" s="1"/>
  <c r="S4" i="43"/>
  <c r="T4" i="43" s="1"/>
  <c r="V4" i="43" s="1"/>
  <c r="S5" i="43"/>
  <c r="T5" i="43" s="1"/>
  <c r="V5" i="43" s="1"/>
  <c r="S3" i="43"/>
  <c r="T3" i="43" s="1"/>
  <c r="V3" i="43" s="1"/>
  <c r="S7" i="43"/>
  <c r="T7" i="43" s="1"/>
  <c r="V7" i="43" s="1"/>
  <c r="C23" i="43"/>
  <c r="C21" i="43" s="1"/>
  <c r="S2" i="43"/>
  <c r="T2" i="43" s="1"/>
  <c r="V2" i="43" s="1"/>
  <c r="S6" i="43"/>
  <c r="T6" i="43" s="1"/>
  <c r="V6" i="43" s="1"/>
  <c r="AB10" i="39"/>
  <c r="U10" i="39"/>
  <c r="W10" i="40"/>
  <c r="AC10" i="40"/>
  <c r="U10" i="40"/>
  <c r="AB10" i="40"/>
  <c r="AA7" i="40"/>
  <c r="S7" i="40"/>
  <c r="E48" i="21"/>
  <c r="R49" i="21"/>
  <c r="W7" i="40"/>
  <c r="AC7" i="40"/>
  <c r="F68" i="39"/>
  <c r="E70" i="39"/>
  <c r="U7" i="34"/>
  <c r="AB7" i="34"/>
  <c r="T49" i="34" s="1"/>
  <c r="G49" i="34" s="1"/>
  <c r="S7" i="36"/>
  <c r="AA7" i="36"/>
  <c r="R36" i="36" s="1"/>
  <c r="J7" i="34"/>
  <c r="I52" i="21"/>
  <c r="J52" i="21" s="1"/>
  <c r="I53" i="21"/>
  <c r="J53" i="21" s="1"/>
  <c r="AB7" i="40"/>
  <c r="U7" i="40"/>
  <c r="S7" i="34"/>
  <c r="AA7" i="34"/>
  <c r="R49" i="34" s="1"/>
  <c r="AC7" i="37"/>
  <c r="V42" i="37" s="1"/>
  <c r="I42" i="37" s="1"/>
  <c r="W7" i="37"/>
  <c r="U7" i="37"/>
  <c r="AB7" i="37"/>
  <c r="T42" i="37" s="1"/>
  <c r="G42" i="37" s="1"/>
  <c r="U7" i="36"/>
  <c r="AB7" i="36"/>
  <c r="T36" i="36" s="1"/>
  <c r="G36" i="36" s="1"/>
  <c r="G52" i="21"/>
  <c r="H52" i="21" s="1"/>
  <c r="G53" i="21"/>
  <c r="H53" i="21" s="1"/>
  <c r="I48" i="35"/>
  <c r="F7" i="37"/>
  <c r="J7" i="36"/>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34" i="68"/>
  <c r="C17" i="15"/>
  <c r="E6" i="70" l="1"/>
  <c r="E2" i="70" s="1"/>
  <c r="H34" i="40"/>
  <c r="J34" i="40"/>
  <c r="F34" i="40"/>
  <c r="S16" i="1"/>
  <c r="AR6" i="1"/>
  <c r="AQ6" i="1"/>
  <c r="T6" i="1"/>
  <c r="M19" i="9"/>
  <c r="C118" i="9" s="1"/>
  <c r="C14" i="74" s="1"/>
  <c r="B2" i="74" s="1"/>
  <c r="D25" i="6"/>
  <c r="D22" i="6"/>
  <c r="D24" i="6"/>
  <c r="D15" i="6"/>
  <c r="D20" i="6"/>
  <c r="D6" i="6"/>
  <c r="D10" i="6"/>
  <c r="D29" i="6"/>
  <c r="D21" i="6"/>
  <c r="D9" i="6"/>
  <c r="L19" i="9"/>
  <c r="D28" i="6"/>
  <c r="D30" i="6" s="1"/>
  <c r="D11" i="6"/>
  <c r="D5" i="6"/>
  <c r="D23" i="6"/>
  <c r="C18" i="4"/>
  <c r="D19" i="6"/>
  <c r="E61" i="40"/>
  <c r="D13" i="6"/>
  <c r="D12" i="6"/>
  <c r="D14" i="6"/>
  <c r="D8" i="6"/>
  <c r="D26" i="6"/>
  <c r="D17" i="12"/>
  <c r="C17" i="12" s="1"/>
  <c r="C14" i="12"/>
  <c r="C8" i="74"/>
  <c r="C7" i="74"/>
  <c r="D10" i="11"/>
  <c r="C10" i="11" s="1"/>
  <c r="D20" i="12"/>
  <c r="C20" i="12" s="1"/>
  <c r="C18" i="12" s="1"/>
  <c r="D10" i="69"/>
  <c r="S21" i="6"/>
  <c r="H21" i="6"/>
  <c r="H22" i="6"/>
  <c r="R22" i="6" s="1"/>
  <c r="S22" i="6"/>
  <c r="S26" i="6"/>
  <c r="H26" i="6"/>
  <c r="S24" i="6"/>
  <c r="H24" i="6"/>
  <c r="S25" i="6"/>
  <c r="H25" i="6"/>
  <c r="S23" i="6"/>
  <c r="H23" i="6"/>
  <c r="M19" i="6"/>
  <c r="K27" i="6"/>
  <c r="S20" i="6"/>
  <c r="H20" i="6"/>
  <c r="F50" i="11"/>
  <c r="F50" i="68"/>
  <c r="F50" i="69"/>
  <c r="C15" i="12"/>
  <c r="C12" i="12"/>
  <c r="C38" i="68"/>
  <c r="C35" i="68"/>
  <c r="C35" i="11"/>
  <c r="C38" i="11"/>
  <c r="C29" i="43"/>
  <c r="S7" i="37"/>
  <c r="AA7" i="37"/>
  <c r="R42" i="37" s="1"/>
  <c r="J48" i="35"/>
  <c r="K48" i="35" s="1"/>
  <c r="L48" i="35" s="1"/>
  <c r="M48" i="35" s="1"/>
  <c r="N48" i="35" s="1"/>
  <c r="O48" i="35" s="1"/>
  <c r="H7" i="35"/>
  <c r="I46" i="37"/>
  <c r="J46" i="37" s="1"/>
  <c r="E36" i="36"/>
  <c r="R37" i="36"/>
  <c r="G53" i="34"/>
  <c r="H53" i="34" s="1"/>
  <c r="G54" i="34"/>
  <c r="H54" i="34" s="1"/>
  <c r="C48" i="21"/>
  <c r="C49" i="21"/>
  <c r="B2" i="21" s="1"/>
  <c r="B3" i="21" s="1"/>
  <c r="W7" i="36"/>
  <c r="AC7" i="36"/>
  <c r="V36" i="36" s="1"/>
  <c r="I36" i="36" s="1"/>
  <c r="J7" i="35"/>
  <c r="G40" i="36"/>
  <c r="H40" i="36" s="1"/>
  <c r="G41" i="36"/>
  <c r="H41" i="36" s="1"/>
  <c r="G46" i="37"/>
  <c r="H46" i="37" s="1"/>
  <c r="G47" i="37"/>
  <c r="H47" i="37" s="1"/>
  <c r="R50" i="34"/>
  <c r="E49" i="34"/>
  <c r="AC7" i="34"/>
  <c r="V49" i="34" s="1"/>
  <c r="I49" i="34" s="1"/>
  <c r="W7" i="34"/>
  <c r="G68" i="39"/>
  <c r="F70" i="39"/>
  <c r="E52" i="21"/>
  <c r="F52" i="21" s="1"/>
  <c r="E53" i="21"/>
  <c r="F53" i="21" s="1"/>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D10" i="68"/>
  <c r="C14" i="15"/>
  <c r="R20" i="6" l="1"/>
  <c r="R23" i="6"/>
  <c r="R25" i="6"/>
  <c r="R24" i="6"/>
  <c r="R26" i="6"/>
  <c r="R21" i="6"/>
  <c r="D16" i="6"/>
  <c r="C18" i="15"/>
  <c r="C15" i="15"/>
  <c r="AC34" i="40"/>
  <c r="V42" i="40" s="1"/>
  <c r="I42" i="40" s="1"/>
  <c r="I46" i="40" s="1"/>
  <c r="J46" i="40" s="1"/>
  <c r="W34" i="40"/>
  <c r="T16" i="1"/>
  <c r="AA34" i="40"/>
  <c r="R42" i="40" s="1"/>
  <c r="S34" i="40"/>
  <c r="AB34" i="40"/>
  <c r="T42" i="40" s="1"/>
  <c r="G42" i="40" s="1"/>
  <c r="U34" i="40"/>
  <c r="C33" i="11"/>
  <c r="C39" i="11" s="1"/>
  <c r="C43" i="11" s="1"/>
  <c r="C16" i="12"/>
  <c r="C21" i="12" s="1"/>
  <c r="C10" i="69"/>
  <c r="C8" i="69" s="1"/>
  <c r="C5" i="69" s="1"/>
  <c r="D19" i="69"/>
  <c r="C10" i="68"/>
  <c r="D19" i="68"/>
  <c r="D27" i="6"/>
  <c r="D31" i="6" s="1"/>
  <c r="C4" i="52"/>
  <c r="B45" i="72" s="1"/>
  <c r="A7" i="51"/>
  <c r="B7" i="72" s="1"/>
  <c r="A10" i="51"/>
  <c r="B9" i="72" s="1"/>
  <c r="D7" i="74"/>
  <c r="D8" i="74"/>
  <c r="M27" i="6"/>
  <c r="I19" i="6"/>
  <c r="C30" i="43"/>
  <c r="E30" i="43" s="1"/>
  <c r="C27" i="43" s="1"/>
  <c r="E29" i="43"/>
  <c r="C26" i="43" s="1"/>
  <c r="G70" i="39"/>
  <c r="H68" i="39"/>
  <c r="E54" i="34"/>
  <c r="F54" i="34" s="1"/>
  <c r="E53" i="34"/>
  <c r="F53" i="34" s="1"/>
  <c r="AC7" i="35"/>
  <c r="V38" i="35" s="1"/>
  <c r="I38" i="35" s="1"/>
  <c r="W7" i="35"/>
  <c r="C36" i="36"/>
  <c r="C37" i="36"/>
  <c r="B2" i="36" s="1"/>
  <c r="B3" i="36" s="1"/>
  <c r="AB7" i="35"/>
  <c r="T38" i="35" s="1"/>
  <c r="G38" i="35" s="1"/>
  <c r="U7" i="35"/>
  <c r="I53" i="34"/>
  <c r="J53" i="34" s="1"/>
  <c r="I54" i="34"/>
  <c r="J54" i="34" s="1"/>
  <c r="C49" i="34"/>
  <c r="C50" i="34"/>
  <c r="B2" i="34" s="1"/>
  <c r="B3" i="34" s="1"/>
  <c r="I41" i="36"/>
  <c r="J41" i="36" s="1"/>
  <c r="I40" i="36"/>
  <c r="J40" i="36" s="1"/>
  <c r="E40" i="36"/>
  <c r="F40" i="36" s="1"/>
  <c r="E41" i="36"/>
  <c r="F41" i="36" s="1"/>
  <c r="F7" i="35"/>
  <c r="E42" i="37"/>
  <c r="R43" i="37"/>
  <c r="C33" i="15"/>
  <c r="J59" i="15"/>
  <c r="J60" i="15" s="1"/>
  <c r="C22" i="11"/>
  <c r="C31" i="11" s="1"/>
  <c r="C33" i="67"/>
  <c r="C31" i="67" s="1"/>
  <c r="J14" i="67"/>
  <c r="C57" i="67"/>
  <c r="C13" i="67"/>
  <c r="J19" i="67"/>
  <c r="J17" i="67" s="1"/>
  <c r="Q49" i="67"/>
  <c r="C36" i="67"/>
  <c r="J59" i="67"/>
  <c r="J60" i="67" s="1"/>
  <c r="E6" i="76"/>
  <c r="C19" i="15" l="1"/>
  <c r="C20" i="15" s="1"/>
  <c r="C26" i="15" s="1"/>
  <c r="G46" i="40"/>
  <c r="H46" i="40" s="1"/>
  <c r="G47" i="40"/>
  <c r="H47" i="40" s="1"/>
  <c r="E42" i="40"/>
  <c r="R43" i="40"/>
  <c r="C22" i="12"/>
  <c r="C30" i="12" s="1"/>
  <c r="C28" i="12" s="1"/>
  <c r="C42" i="11"/>
  <c r="C41" i="11" s="1"/>
  <c r="C19" i="68"/>
  <c r="D37" i="68"/>
  <c r="C37" i="68" s="1"/>
  <c r="C33" i="68" s="1"/>
  <c r="C19" i="69"/>
  <c r="C24" i="69" s="1"/>
  <c r="D37" i="69"/>
  <c r="C37" i="69" s="1"/>
  <c r="C33" i="69" s="1"/>
  <c r="C46" i="11"/>
  <c r="C45" i="11" s="1"/>
  <c r="I5" i="6"/>
  <c r="I6" i="6"/>
  <c r="C23" i="69"/>
  <c r="S19" i="6"/>
  <c r="S27" i="6" s="1"/>
  <c r="H19" i="6"/>
  <c r="I27" i="6"/>
  <c r="E2" i="76"/>
  <c r="B2" i="43"/>
  <c r="E47" i="37"/>
  <c r="F47" i="37" s="1"/>
  <c r="E46" i="37"/>
  <c r="F46" i="37" s="1"/>
  <c r="I47" i="37"/>
  <c r="J47" i="37" s="1"/>
  <c r="G42" i="35"/>
  <c r="H42" i="35" s="1"/>
  <c r="G43" i="35"/>
  <c r="H43" i="35" s="1"/>
  <c r="I42" i="35"/>
  <c r="J42" i="35" s="1"/>
  <c r="C42" i="37"/>
  <c r="C43" i="37"/>
  <c r="B2" i="37" s="1"/>
  <c r="B3" i="37" s="1"/>
  <c r="AA7" i="35"/>
  <c r="R38" i="35" s="1"/>
  <c r="S7" i="35"/>
  <c r="I68" i="39"/>
  <c r="H70" i="39"/>
  <c r="Q48" i="67"/>
  <c r="L46" i="67"/>
  <c r="C75" i="67"/>
  <c r="C37" i="67"/>
  <c r="C30" i="67" s="1"/>
  <c r="C39" i="67" s="1"/>
  <c r="Q70" i="67"/>
  <c r="C56" i="67"/>
  <c r="C65" i="67" s="1"/>
  <c r="J13" i="67"/>
  <c r="J23" i="67" s="1"/>
  <c r="J22" i="67"/>
  <c r="Q48" i="15"/>
  <c r="C61" i="67"/>
  <c r="C59" i="67" s="1"/>
  <c r="C64" i="67"/>
  <c r="B6" i="76"/>
  <c r="C23" i="15" l="1"/>
  <c r="C29" i="15" s="1"/>
  <c r="J19" i="15" s="1"/>
  <c r="C43" i="40"/>
  <c r="C42" i="40"/>
  <c r="E46" i="40"/>
  <c r="F46" i="40" s="1"/>
  <c r="I47" i="40"/>
  <c r="J47" i="40" s="1"/>
  <c r="E47" i="40"/>
  <c r="F47" i="40" s="1"/>
  <c r="C27" i="12"/>
  <c r="C25" i="12" s="1"/>
  <c r="C32" i="12" s="1"/>
  <c r="B2" i="12" s="1"/>
  <c r="B3" i="12" s="1"/>
  <c r="C49" i="11"/>
  <c r="C51" i="11" s="1"/>
  <c r="C52" i="11" s="1"/>
  <c r="B2" i="11" s="1"/>
  <c r="B3" i="11" s="1"/>
  <c r="C20" i="69"/>
  <c r="C39" i="69"/>
  <c r="C43" i="69" s="1"/>
  <c r="C42" i="69"/>
  <c r="C39" i="68"/>
  <c r="C43" i="68" s="1"/>
  <c r="C42" i="68"/>
  <c r="C24" i="68"/>
  <c r="R19" i="6"/>
  <c r="H27" i="6"/>
  <c r="B2" i="76"/>
  <c r="B3" i="76" s="1"/>
  <c r="B3" i="43"/>
  <c r="J68" i="39"/>
  <c r="I70" i="39"/>
  <c r="E38" i="35"/>
  <c r="R39" i="35"/>
  <c r="J16" i="67"/>
  <c r="J25" i="67" s="1"/>
  <c r="C40" i="67"/>
  <c r="Q69" i="67"/>
  <c r="Q68" i="67" s="1"/>
  <c r="C58" i="67"/>
  <c r="C67" i="67" s="1"/>
  <c r="C68" i="67" s="1"/>
  <c r="C80" i="67"/>
  <c r="C79" i="67" s="1"/>
  <c r="L51" i="67"/>
  <c r="Q49" i="15" l="1"/>
  <c r="J14" i="15"/>
  <c r="J22" i="15" s="1"/>
  <c r="C57" i="15"/>
  <c r="C64" i="15" s="1"/>
  <c r="C36" i="15"/>
  <c r="C13" i="15"/>
  <c r="C37" i="15" s="1"/>
  <c r="B58" i="40"/>
  <c r="F58" i="40" s="1"/>
  <c r="B52" i="40"/>
  <c r="F52" i="40" s="1"/>
  <c r="B51" i="40"/>
  <c r="F51" i="40" s="1"/>
  <c r="B55" i="40"/>
  <c r="F55" i="40" s="1"/>
  <c r="B60" i="40"/>
  <c r="F60" i="40" s="1"/>
  <c r="B57" i="40"/>
  <c r="F57" i="40" s="1"/>
  <c r="B59" i="40"/>
  <c r="F59" i="40" s="1"/>
  <c r="B56" i="40"/>
  <c r="F56" i="40" s="1"/>
  <c r="B54" i="40"/>
  <c r="F54" i="40" s="1"/>
  <c r="B53" i="40"/>
  <c r="F53" i="40" s="1"/>
  <c r="J13" i="15"/>
  <c r="J23" i="15" s="1"/>
  <c r="C61" i="15"/>
  <c r="C41" i="68"/>
  <c r="C41" i="69"/>
  <c r="C46" i="68"/>
  <c r="C45" i="68" s="1"/>
  <c r="R27" i="6"/>
  <c r="R6" i="1"/>
  <c r="C46" i="69"/>
  <c r="C45" i="69" s="1"/>
  <c r="C25" i="69"/>
  <c r="C22" i="69" s="1"/>
  <c r="C28" i="69"/>
  <c r="C27" i="69" s="1"/>
  <c r="C56" i="11"/>
  <c r="C57" i="11" s="1"/>
  <c r="C38" i="35"/>
  <c r="C39" i="35"/>
  <c r="B2" i="35" s="1"/>
  <c r="B3" i="35" s="1"/>
  <c r="E43" i="35"/>
  <c r="F43" i="35" s="1"/>
  <c r="E42" i="35"/>
  <c r="F42" i="35" s="1"/>
  <c r="I43" i="35"/>
  <c r="J43" i="35" s="1"/>
  <c r="K68" i="39"/>
  <c r="J70" i="39"/>
  <c r="Q67" i="67"/>
  <c r="L57" i="67"/>
  <c r="L60" i="67" s="1"/>
  <c r="C71" i="67"/>
  <c r="C45" i="67"/>
  <c r="C46" i="67" s="1"/>
  <c r="Q56" i="67"/>
  <c r="Q47" i="67"/>
  <c r="Q53" i="67" s="1"/>
  <c r="Q65" i="67"/>
  <c r="C43" i="67"/>
  <c r="D2" i="67"/>
  <c r="C83" i="67"/>
  <c r="C82" i="67" s="1"/>
  <c r="M21" i="15"/>
  <c r="F35" i="15"/>
  <c r="C49" i="69" l="1"/>
  <c r="C51" i="69" s="1"/>
  <c r="C56" i="15"/>
  <c r="C65" i="15" s="1"/>
  <c r="Q70" i="15"/>
  <c r="C75" i="15"/>
  <c r="F61" i="40"/>
  <c r="B2" i="40" s="1"/>
  <c r="F63" i="15"/>
  <c r="C62" i="15" s="1"/>
  <c r="C59" i="15" s="1"/>
  <c r="C58" i="15" s="1"/>
  <c r="C67" i="15" s="1"/>
  <c r="C68" i="15" s="1"/>
  <c r="C34" i="15"/>
  <c r="C31" i="15" s="1"/>
  <c r="C30" i="15" s="1"/>
  <c r="C39" i="15" s="1"/>
  <c r="J20" i="15"/>
  <c r="J17" i="15" s="1"/>
  <c r="J16" i="15" s="1"/>
  <c r="J25" i="15" s="1"/>
  <c r="R16" i="1"/>
  <c r="C49" i="68"/>
  <c r="C51" i="68" s="1"/>
  <c r="C31" i="69"/>
  <c r="C52" i="69" s="1"/>
  <c r="B2" i="69" s="1"/>
  <c r="B3" i="69" s="1"/>
  <c r="L68" i="39"/>
  <c r="K70" i="39"/>
  <c r="Q66" i="67"/>
  <c r="Q75" i="67" s="1"/>
  <c r="Q57" i="67"/>
  <c r="Q62" i="67" s="1"/>
  <c r="B2" i="67"/>
  <c r="B3" i="67"/>
  <c r="L51" i="15"/>
  <c r="B3" i="40" l="1"/>
  <c r="C6" i="68"/>
  <c r="L57" i="15"/>
  <c r="L60" i="15" s="1"/>
  <c r="Q67" i="15"/>
  <c r="Q69" i="15"/>
  <c r="Q68" i="15" s="1"/>
  <c r="C40" i="15"/>
  <c r="C80" i="15"/>
  <c r="C79" i="15" s="1"/>
  <c r="C46" i="15"/>
  <c r="C71" i="15"/>
  <c r="C57" i="69"/>
  <c r="C56" i="69" s="1"/>
  <c r="M68" i="39"/>
  <c r="L70" i="39"/>
  <c r="C7" i="68" l="1"/>
  <c r="C5" i="68" s="1"/>
  <c r="L46" i="15"/>
  <c r="B2" i="15" s="1"/>
  <c r="Q57" i="15"/>
  <c r="Q66" i="15"/>
  <c r="Q65" i="15"/>
  <c r="C43" i="15"/>
  <c r="Q56" i="15"/>
  <c r="Q62" i="15" s="1"/>
  <c r="Q47" i="15"/>
  <c r="Q53" i="15" s="1"/>
  <c r="C83" i="15"/>
  <c r="C82" i="15" s="1"/>
  <c r="N68" i="39"/>
  <c r="M70" i="39"/>
  <c r="AO6" i="1"/>
  <c r="D19" i="9"/>
  <c r="C23" i="68" l="1"/>
  <c r="C20" i="68"/>
  <c r="D102" i="9"/>
  <c r="D21" i="9"/>
  <c r="Q75" i="15"/>
  <c r="B6" i="70"/>
  <c r="B2" i="70" s="1"/>
  <c r="B3" i="70" s="1"/>
  <c r="B3" i="15"/>
  <c r="O68" i="39"/>
  <c r="O70" i="39" s="1"/>
  <c r="N70" i="39"/>
  <c r="D20" i="9"/>
  <c r="C28" i="68" l="1"/>
  <c r="C27" i="68" s="1"/>
  <c r="C25" i="68"/>
  <c r="C22" i="68" s="1"/>
  <c r="D103" i="9"/>
  <c r="H7" i="39"/>
  <c r="F7" i="39"/>
  <c r="J7" i="39"/>
  <c r="C31" i="68" l="1"/>
  <c r="C52" i="68" s="1"/>
  <c r="S7" i="39"/>
  <c r="AA7" i="39"/>
  <c r="R47" i="39" s="1"/>
  <c r="AC7" i="39"/>
  <c r="V47" i="39" s="1"/>
  <c r="I47" i="39" s="1"/>
  <c r="W7" i="39"/>
  <c r="AB7" i="39"/>
  <c r="T47" i="39" s="1"/>
  <c r="G47" i="39" s="1"/>
  <c r="U7" i="39"/>
  <c r="B2" i="68" l="1"/>
  <c r="C57" i="68"/>
  <c r="C56" i="68" s="1"/>
  <c r="E47" i="39"/>
  <c r="R48" i="39"/>
  <c r="G52" i="39"/>
  <c r="H52" i="39" s="1"/>
  <c r="G51" i="39"/>
  <c r="H51" i="39" s="1"/>
  <c r="I51" i="39"/>
  <c r="J51" i="39" s="1"/>
  <c r="C19" i="9"/>
  <c r="C102" i="9" l="1"/>
  <c r="C21" i="9"/>
  <c r="D22" i="9"/>
  <c r="G19" i="9"/>
  <c r="B3" i="68"/>
  <c r="E51" i="39"/>
  <c r="F51" i="39" s="1"/>
  <c r="E52" i="39"/>
  <c r="F52" i="39" s="1"/>
  <c r="I52" i="39"/>
  <c r="J52" i="39" s="1"/>
  <c r="C47" i="39"/>
  <c r="C48" i="39"/>
  <c r="D34" i="9"/>
  <c r="D35" i="9"/>
  <c r="C20" i="9"/>
  <c r="C103" i="9" l="1"/>
  <c r="G20" i="9"/>
  <c r="C32" i="9"/>
  <c r="G21"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H118" i="9" l="1"/>
  <c r="C35" i="9"/>
  <c r="F118" i="9" s="1"/>
  <c r="C34" i="9" l="1"/>
  <c r="D118" i="9" s="1"/>
  <c r="D4" i="52" s="1"/>
  <c r="B47" i="72" s="1"/>
  <c r="G118" i="9"/>
  <c r="G4" i="52" s="1"/>
  <c r="B52" i="72" s="1"/>
  <c r="F119" i="9"/>
  <c r="F5" i="52" s="1"/>
  <c r="B53" i="72" s="1"/>
  <c r="F4" i="52"/>
  <c r="B51" i="72" s="1"/>
  <c r="H101" i="9"/>
  <c r="I118" i="9"/>
  <c r="C104" i="9"/>
  <c r="H119" i="9"/>
  <c r="H5" i="52" s="1"/>
  <c r="D14" i="74"/>
  <c r="H4" i="52"/>
  <c r="D119" i="9" l="1"/>
  <c r="D5" i="52" s="1"/>
  <c r="B49" i="72" s="1"/>
  <c r="H102" i="9"/>
  <c r="D7" i="53" s="1"/>
  <c r="B21" i="72" s="1"/>
  <c r="C105" i="9"/>
  <c r="E118" i="9"/>
  <c r="E4" i="52" s="1"/>
  <c r="B48" i="72" s="1"/>
  <c r="I4" i="52"/>
  <c r="B5" i="74"/>
  <c r="E14" i="74"/>
  <c r="F14" i="74"/>
  <c r="M48" i="9"/>
  <c r="D45" i="9"/>
  <c r="D5" i="53"/>
  <c r="H107" i="9"/>
  <c r="H108" i="9" l="1"/>
  <c r="D15" i="53" s="1"/>
  <c r="B31" i="72" s="1"/>
  <c r="D122" i="9"/>
  <c r="M49" i="9"/>
  <c r="D13" i="53"/>
  <c r="C64" i="9"/>
  <c r="C63" i="9" s="1"/>
  <c r="C67" i="9" s="1"/>
  <c r="C68" i="9" s="1"/>
  <c r="D54" i="9" s="1"/>
  <c r="D55" i="9"/>
  <c r="M53" i="9" s="1"/>
  <c r="C72" i="9"/>
  <c r="D53" i="9"/>
  <c r="D52" i="9"/>
  <c r="C85" i="9"/>
  <c r="C78" i="9"/>
  <c r="C73" i="9" s="1"/>
  <c r="C93" i="9"/>
  <c r="C86" i="9" s="1"/>
  <c r="D6" i="53"/>
  <c r="B22" i="72" s="1"/>
  <c r="B20" i="72"/>
  <c r="D5" i="74"/>
  <c r="C5" i="74"/>
  <c r="C95" i="9" l="1"/>
  <c r="D14" i="53"/>
  <c r="B32" i="72" s="1"/>
  <c r="B30" i="72"/>
  <c r="G14" i="74"/>
  <c r="B6" i="74" s="1"/>
  <c r="D8" i="52"/>
  <c r="D123" i="9"/>
  <c r="D9" i="52" s="1"/>
  <c r="C79" i="9"/>
  <c r="L68" i="9"/>
  <c r="M68" i="9" s="1"/>
  <c r="L67" i="9"/>
  <c r="M67" i="9" s="1"/>
  <c r="L64" i="9"/>
  <c r="M64" i="9" s="1"/>
  <c r="L65" i="9"/>
  <c r="M65" i="9" s="1"/>
  <c r="L66" i="9"/>
  <c r="M66" i="9" s="1"/>
  <c r="L63" i="9"/>
  <c r="M63" i="9" s="1"/>
  <c r="C6" i="74" l="1"/>
  <c r="D6" i="74"/>
  <c r="M69" i="9"/>
  <c r="N69" i="9" s="1"/>
  <c r="C80" i="9"/>
  <c r="E80" i="9" s="1"/>
  <c r="E81" i="9" s="1"/>
  <c r="C96" i="9"/>
  <c r="E96" i="9" s="1"/>
  <c r="E97" i="9" s="1"/>
  <c r="C81" i="9" l="1"/>
  <c r="C97" i="9"/>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<sst xmlns="http://schemas.openxmlformats.org/spreadsheetml/2006/main" count="9254" uniqueCount="3323">
  <si>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</si>
  <si>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</si>
  <si>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</si>
  <si>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</si>
  <si>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</si>
  <si>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</si>
  <si>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</si>
  <si>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</si>
  <si>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</si>
  <si>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</si>
  <si>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</si>
  <si>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</si>
  <si>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</si>
  <si>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</si>
  <si>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</si>
  <si>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</si>
  <si>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</si>
  <si>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</si>
  <si>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</si>
  <si>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</si>
  <si>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</si>
  <si>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</si>
  <si>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</si>
  <si>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</si>
  <si>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</si>
  <si>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</si>
  <si>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</si>
  <si>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</si>
  <si>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</si>
  <si>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</si>
  <si>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</si>
  <si>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</si>
  <si>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</si>
  <si>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</si>
  <si>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</si>
  <si>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</si>
  <si>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</si>
  <si>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</si>
  <si>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</si>
  <si>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</si>
  <si>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</si>
  <si>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</si>
  <si>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</si>
  <si>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</si>
  <si>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</si>
  <si>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</si>
  <si>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</si>
  <si>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</si>
  <si>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</si>
  <si>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</si>
  <si>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</si>
  <si>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</si>
  <si>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</si>
  <si>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</si>
  <si>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</si>
  <si>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</si>
  <si>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</si>
  <si>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</si>
  <si>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</si>
  <si>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</si>
  <si>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</si>
  <si>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</si>
  <si>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</si>
  <si>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</si>
  <si>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</si>
  <si>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</si>
  <si>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</si>
  <si>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</si>
  <si>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</si>
  <si>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</si>
  <si>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</si>
  <si>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</si>
  <si>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</si>
  <si>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</si>
  <si>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</si>
  <si>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</si>
  <si>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</si>
  <si>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</si>
  <si>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</si>
  <si>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</si>
  <si>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</si>
  <si>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</si>
  <si>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</si>
  <si>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</si>
  <si>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</si>
  <si>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</si>
  <si>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</si>
  <si>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</si>
  <si>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</si>
  <si>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</si>
  <si>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</si>
  <si>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</si>
  <si>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</si>
  <si>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</si>
  <si>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</si>
  <si>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</si>
  <si>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</si>
  <si>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</si>
  <si>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</si>
  <si>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</si>
  <si>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</si>
  <si>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</si>
  <si>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</si>
  <si>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</si>
  <si>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</si>
  <si>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</si>
  <si>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</si>
  <si>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</si>
  <si>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</si>
  <si>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</si>
  <si>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</si>
  <si>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</si>
  <si>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</si>
  <si>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</si>
  <si>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</si>
  <si>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</si>
  <si>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</si>
  <si>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</si>
  <si>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</si>
  <si>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</si>
  <si>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</si>
  <si>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</si>
  <si>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</si>
  <si>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</si>
  <si>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</si>
  <si>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</si>
  <si>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</si>
  <si>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</si>
  <si>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</si>
  <si>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</si>
  <si>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</si>
  <si>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</si>
  <si>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</si>
  <si>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</si>
  <si>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</si>
  <si>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</si>
  <si>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</si>
  <si>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</si>
  <si>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</si>
  <si>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</si>
  <si>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</si>
  <si>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</si>
  <si>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</si>
  <si>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</si>
  <si>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</si>
  <si>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</si>
  <si>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</si>
  <si>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</si>
  <si>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</si>
  <si>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</si>
  <si>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</si>
  <si>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</si>
  <si>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</si>
  <si>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</si>
  <si>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</si>
  <si>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</si>
  <si>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</si>
  <si>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</si>
  <si>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</si>
  <si>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</si>
  <si>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</si>
  <si>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</si>
  <si>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</si>
  <si>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</si>
  <si>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</si>
  <si>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</si>
  <si>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</si>
  <si>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</si>
  <si>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</si>
  <si>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</si>
  <si>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</si>
  <si>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</si>
  <si>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</si>
  <si>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</si>
  <si>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</si>
  <si>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</si>
  <si>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</si>
  <si>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</si>
  <si>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</si>
  <si>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</si>
  <si>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</si>
  <si>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</si>
  <si>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</si>
  <si>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</si>
  <si>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</si>
  <si>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</si>
  <si>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</si>
  <si>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</si>
  <si>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</si>
  <si>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</si>
  <si>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</si>
  <si>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</si>
  <si>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</si>
  <si>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</si>
  <si>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</si>
  <si>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</si>
  <si>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</si>
  <si>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</si>
  <si>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</si>
  <si>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</si>
  <si>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</si>
  <si>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</si>
  <si>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</si>
  <si>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</si>
  <si>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</si>
  <si>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</si>
  <si>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</si>
  <si>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</si>
  <si>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</si>
  <si>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</si>
  <si>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</si>
  <si>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</si>
  <si>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</si>
  <si>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</si>
  <si>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</si>
  <si>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</si>
  <si>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</si>
  <si>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</si>
  <si>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</si>
  <si>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</si>
  <si>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</si>
  <si>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</si>
  <si>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</si>
  <si>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</si>
  <si>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</si>
  <si>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</si>
  <si>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</si>
  <si>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</si>
  <si>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</si>
  <si>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</si>
  <si>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</si>
  <si>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</si>
  <si>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</si>
  <si>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</si>
  <si>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</si>
  <si>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</si>
  <si>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</si>
  <si>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</si>
  <si>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</si>
  <si>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</si>
  <si>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</si>
  <si>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</si>
  <si>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</si>
  <si>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</si>
  <si>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</si>
  <si>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</si>
  <si>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</si>
  <si>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</si>
  <si>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</si>
  <si>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</si>
  <si>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</si>
  <si>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</si>
  <si>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</si>
  <si>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</si>
  <si>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</si>
  <si>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</si>
  <si>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</si>
  <si>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</si>
  <si>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</si>
  <si>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</si>
  <si>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</si>
  <si>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</si>
  <si>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</si>
  <si>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</si>
  <si>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</si>
  <si>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</si>
  <si>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</si>
  <si>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</si>
  <si>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</si>
  <si>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</si>
  <si>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</si>
  <si>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</si>
  <si>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</si>
  <si>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</si>
  <si>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</si>
  <si>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</si>
  <si>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</si>
  <si>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</si>
  <si>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</si>
  <si>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</si>
  <si>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</si>
  <si>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</si>
  <si>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</si>
  <si>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</si>
  <si>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</si>
  <si>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</si>
  <si>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</si>
  <si>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</si>
  <si>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</si>
  <si>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</si>
  <si>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</si>
  <si>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</si>
  <si>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</si>
  <si>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</si>
  <si>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</si>
  <si>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</si>
  <si>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</si>
  <si>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</si>
  <si>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</si>
  <si>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</si>
  <si>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</si>
  <si>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</si>
  <si>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</si>
  <si>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</si>
  <si>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</si>
  <si>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</si>
  <si>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</si>
  <si>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</si>
  <si>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</si>
  <si>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</si>
  <si>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</si>
  <si>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</si>
  <si>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</si>
  <si>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</si>
  <si>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</si>
  <si>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</si>
  <si>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</si>
  <si>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</si>
  <si>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</si>
  <si>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</si>
  <si>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</si>
  <si>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</si>
  <si>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</si>
  <si>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</si>
  <si>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</si>
  <si>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</si>
  <si>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</si>
  <si>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</si>
  <si>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</si>
  <si>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</si>
  <si>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</si>
  <si>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</si>
  <si>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</si>
  <si>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</si>
  <si>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</si>
  <si>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</si>
  <si>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</si>
  <si>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</si>
  <si>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</si>
  <si>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</si>
  <si>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</si>
  <si>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</si>
  <si>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</si>
  <si>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</si>
  <si>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</si>
  <si>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</si>
  <si>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</si>
  <si>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</si>
  <si>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</si>
  <si>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</si>
  <si>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</si>
  <si>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</si>
  <si>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</si>
  <si>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</si>
  <si>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</si>
  <si>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</si>
  <si>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</si>
  <si>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</si>
  <si>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</si>
  <si>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</si>
  <si>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</si>
  <si>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</si>
  <si>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</si>
  <si>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</si>
  <si>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</si>
  <si>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</si>
  <si>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</si>
  <si>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</si>
  <si>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</si>
  <si>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</si>
  <si>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</si>
  <si>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</si>
  <si>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</si>
  <si>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</si>
  <si>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</si>
  <si>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</si>
  <si>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</si>
  <si>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</si>
  <si>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</si>
  <si>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</si>
  <si>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</si>
  <si>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</si>
  <si>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</si>
  <si>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</si>
  <si>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</si>
  <si>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</si>
  <si>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</si>
  <si>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</si>
  <si>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</si>
  <si>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</si>
  <si>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</si>
  <si>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</si>
  <si>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</si>
  <si>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</si>
  <si>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</si>
  <si>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</si>
  <si>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</si>
  <si>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</si>
  <si>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</si>
  <si>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</si>
  <si>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</si>
  <si>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</si>
  <si>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</si>
  <si>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</si>
  <si>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</si>
  <si>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</si>
  <si>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</si>
  <si>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</si>
  <si>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</si>
  <si>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</si>
  <si>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</si>
  <si>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</si>
  <si>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</si>
  <si>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</si>
  <si>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</si>
  <si>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</si>
  <si>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</si>
  <si>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</si>
  <si>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</si>
  <si>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</si>
  <si>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</si>
  <si>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</si>
  <si>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</si>
  <si>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</si>
  <si>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</si>
  <si>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</si>
  <si>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</si>
  <si>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</si>
  <si>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</si>
  <si>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</si>
  <si>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</si>
  <si>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</si>
  <si>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</si>
  <si>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</si>
  <si>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</si>
  <si>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</si>
  <si>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</si>
  <si>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</si>
  <si>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</si>
  <si>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</si>
  <si>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</si>
  <si>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</si>
  <si>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</si>
  <si>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</si>
  <si>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</si>
  <si>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</si>
  <si>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</si>
  <si>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</si>
  <si>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</si>
  <si>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</si>
  <si>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</si>
  <si>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</si>
  <si>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</si>
  <si>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</si>
  <si>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</si>
  <si>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</si>
  <si>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</si>
  <si>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</si>
  <si>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</si>
  <si>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</si>
  <si>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</si>
  <si>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</si>
  <si>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</si>
  <si>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</si>
  <si>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</si>
  <si>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</si>
  <si>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</si>
  <si>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</si>
  <si>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</si>
  <si>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</si>
  <si>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</si>
  <si>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</si>
  <si>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</si>
  <si>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</si>
  <si>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</si>
  <si>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</si>
  <si>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</si>
  <si>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</si>
  <si>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</si>
  <si>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</si>
  <si>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</si>
  <si>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</si>
  <si>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</si>
  <si>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</si>
  <si>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</si>
  <si>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</si>
  <si>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</si>
  <si>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</si>
  <si>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</si>
  <si>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</si>
  <si>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</si>
  <si>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</si>
  <si>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</si>
  <si>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</si>
  <si>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</si>
  <si>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</si>
  <si>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</si>
  <si>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</si>
  <si>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</si>
  <si>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</si>
  <si>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</si>
  <si>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</si>
  <si>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</si>
  <si>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</si>
  <si>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</si>
  <si>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</si>
  <si>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</si>
  <si>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</si>
  <si>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</si>
  <si>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</si>
  <si>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</si>
  <si>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</si>
  <si>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</si>
  <si>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</si>
  <si>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</si>
  <si>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</si>
  <si>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</si>
  <si>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</si>
  <si>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</si>
  <si>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</si>
  <si>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</si>
  <si>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</si>
  <si>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</si>
  <si>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</si>
  <si>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</si>
  <si>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</si>
  <si>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</si>
  <si>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</si>
  <si>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</si>
  <si>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</si>
  <si>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</si>
  <si>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</si>
  <si>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</si>
  <si>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</si>
  <si>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</si>
  <si>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</si>
  <si>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</si>
  <si>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</si>
  <si>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</si>
  <si>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</si>
  <si>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</si>
  <si>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</si>
  <si>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</si>
  <si>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</si>
  <si>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</si>
  <si>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</si>
  <si>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</si>
  <si>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</si>
  <si>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</si>
  <si>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</si>
  <si>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</si>
  <si>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</si>
  <si>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</si>
  <si>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</si>
  <si>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</si>
  <si>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</si>
  <si>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</si>
  <si>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</si>
  <si>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</si>
  <si>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</si>
  <si>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</si>
  <si>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</si>
  <si>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</si>
  <si>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</si>
  <si>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</si>
  <si>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</si>
  <si>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</si>
  <si>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</si>
  <si>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</si>
  <si>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</si>
  <si>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</si>
  <si>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</si>
  <si>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</si>
  <si>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</si>
  <si>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</si>
  <si>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</si>
  <si>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</si>
  <si>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</si>
  <si>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</si>
  <si>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</si>
  <si>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</si>
  <si>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</si>
  <si>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</si>
  <si>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</si>
  <si>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</si>
  <si>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</si>
  <si>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</si>
  <si>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</si>
  <si>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</si>
  <si>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</si>
  <si>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</si>
  <si>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</si>
  <si>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</si>
  <si>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</si>
  <si>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</si>
  <si>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</si>
  <si>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</si>
  <si>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</si>
  <si>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</si>
  <si>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</si>
  <si>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</si>
  <si>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</si>
  <si>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</si>
  <si>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</si>
  <si>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</si>
  <si>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</si>
  <si>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</si>
  <si>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</si>
  <si>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</si>
  <si>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</si>
  <si>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</si>
  <si>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</si>
  <si>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</si>
  <si>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</si>
  <si>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</si>
  <si>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</si>
  <si>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</si>
  <si>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</si>
  <si>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</si>
  <si>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</si>
  <si>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</si>
  <si>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</si>
  <si>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</si>
  <si>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</si>
  <si>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</si>
  <si>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</si>
  <si>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</si>
  <si>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</si>
  <si>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</si>
  <si>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</si>
  <si>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</si>
  <si>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</si>
  <si>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</si>
  <si>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</si>
  <si>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</si>
  <si>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</si>
  <si>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</si>
  <si>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</si>
  <si>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</si>
  <si>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</si>
  <si>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</si>
  <si>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</si>
  <si>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</si>
  <si>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</si>
  <si>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</si>
  <si>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</si>
  <si>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</si>
  <si>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</si>
  <si>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</si>
  <si>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</si>
  <si>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</si>
  <si>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</si>
  <si>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</si>
  <si>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</si>
  <si>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</si>
  <si>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</si>
  <si>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</si>
  <si>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</si>
  <si>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</si>
  <si>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</si>
  <si>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</si>
  <si>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</si>
  <si>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</si>
  <si>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</si>
  <si>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</si>
  <si>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</si>
  <si>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</si>
  <si>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</si>
  <si>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</si>
  <si>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</si>
  <si>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</si>
  <si>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</si>
  <si>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</si>
  <si>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</si>
  <si>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</si>
  <si>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</si>
  <si>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</si>
  <si>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</si>
  <si>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</si>
  <si>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</si>
  <si>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</si>
  <si>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</si>
  <si>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</si>
  <si>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</si>
  <si>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</si>
  <si>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</si>
  <si>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</si>
  <si>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</si>
  <si>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</si>
  <si>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</si>
  <si>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</si>
  <si>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</si>
  <si>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</si>
  <si>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</si>
  <si>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</si>
  <si>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</si>
  <si>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</si>
  <si>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</si>
  <si>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</si>
  <si>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</si>
  <si>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</si>
  <si>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</si>
  <si>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</si>
  <si>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</si>
  <si>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</si>
  <si>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</si>
  <si>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</si>
  <si>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</si>
  <si>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</si>
  <si>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</si>
  <si>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</si>
  <si>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</si>
  <si>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</si>
  <si>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</si>
  <si>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</si>
  <si>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</si>
  <si>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</si>
  <si>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</si>
  <si>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</si>
  <si>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</si>
  <si>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</si>
  <si>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</si>
  <si>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</si>
  <si>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</si>
  <si>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</si>
  <si>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</si>
  <si>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</si>
  <si>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</si>
  <si>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</si>
  <si>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</si>
  <si>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</si>
  <si>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</si>
  <si>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</si>
  <si>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</si>
  <si>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</si>
  <si>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</si>
  <si>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</si>
  <si>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</si>
  <si>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</si>
  <si>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</si>
  <si>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</si>
  <si>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</si>
  <si>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</si>
  <si>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</si>
  <si>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</si>
  <si>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</si>
  <si>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</si>
  <si>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</si>
  <si>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</si>
  <si>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</si>
  <si>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</si>
  <si>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</si>
  <si>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</si>
  <si>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</si>
  <si>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</si>
  <si>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</si>
  <si>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</si>
  <si>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</si>
  <si>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</si>
  <si>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</si>
  <si>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</si>
  <si>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</si>
  <si>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</si>
  <si>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</si>
  <si>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</si>
  <si>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</si>
  <si>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</si>
  <si>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</si>
  <si>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</si>
  <si>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</si>
  <si>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</si>
  <si>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</si>
  <si>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</si>
  <si>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</si>
  <si>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</si>
  <si>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</si>
  <si>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</si>
  <si>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</si>
  <si>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</si>
  <si>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</si>
  <si>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</si>
  <si>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</si>
  <si>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</si>
  <si>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</si>
  <si>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</si>
  <si>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</si>
  <si>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</si>
  <si>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</si>
  <si>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</si>
  <si>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</si>
  <si>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</si>
  <si>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</si>
  <si>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</si>
  <si>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</si>
  <si>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</si>
  <si>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</si>
  <si>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</si>
  <si>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</si>
  <si>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</si>
  <si>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</si>
  <si>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</si>
  <si>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</si>
  <si>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</si>
  <si>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</si>
  <si>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</si>
  <si>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</si>
  <si>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</si>
  <si>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</si>
  <si>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</si>
  <si>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</si>
  <si>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</si>
  <si>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</si>
  <si>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</si>
  <si>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</si>
  <si>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</si>
  <si>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</si>
  <si>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</si>
  <si>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</si>
  <si>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</si>
  <si>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</si>
  <si>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</si>
  <si>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</si>
  <si>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</si>
  <si>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</si>
  <si>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</si>
  <si>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</si>
  <si>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</si>
  <si>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</si>
  <si>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</si>
  <si>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</si>
  <si>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</si>
  <si>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</si>
  <si>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</si>
  <si>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</si>
  <si>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</si>
  <si>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</si>
  <si>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</si>
  <si>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</si>
  <si>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</si>
  <si>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</si>
  <si>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</si>
  <si>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</si>
  <si>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</si>
  <si>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</si>
  <si>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</si>
  <si>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</si>
  <si>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</si>
  <si>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</si>
  <si>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</si>
  <si>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</si>
  <si>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</si>
  <si>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</si>
  <si>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</si>
  <si>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</si>
  <si>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</si>
  <si>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</si>
  <si>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</si>
  <si>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</si>
  <si>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</si>
  <si>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</si>
  <si>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</si>
  <si>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</si>
  <si>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</si>
  <si>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</si>
  <si>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</si>
  <si>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</si>
  <si>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</si>
  <si>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</si>
  <si>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</si>
  <si>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</si>
  <si>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</si>
  <si>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</si>
  <si>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</si>
  <si>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</si>
  <si>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</si>
  <si>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</si>
  <si>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</si>
  <si>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</si>
  <si>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</si>
  <si>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</si>
  <si>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</si>
  <si>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</si>
  <si>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</si>
  <si>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</si>
  <si>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</si>
  <si>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</si>
  <si>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</si>
  <si>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</si>
  <si>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</si>
  <si>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</si>
  <si>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</si>
  <si>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</si>
  <si>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</si>
  <si>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</si>
  <si>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</si>
  <si>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</si>
  <si>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</si>
  <si>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</si>
  <si>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</si>
  <si>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</si>
  <si>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</si>
  <si>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</si>
  <si>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</si>
  <si>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</si>
  <si>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</si>
  <si>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</si>
  <si>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</si>
  <si>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</si>
  <si>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</si>
  <si>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</si>
  <si>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</si>
  <si>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</si>
  <si>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</si>
  <si>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</si>
  <si>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</si>
  <si>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</si>
  <si>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</si>
  <si>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</si>
  <si>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</si>
  <si>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</si>
  <si>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</si>
  <si>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</si>
  <si>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</si>
  <si>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</si>
  <si>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</si>
  <si>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</si>
  <si>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</si>
  <si>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</si>
  <si>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</si>
  <si>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</si>
  <si>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</si>
  <si>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</si>
  <si>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</si>
  <si>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</si>
  <si>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</si>
  <si>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</si>
  <si>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</si>
  <si>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</si>
  <si>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</si>
  <si>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</si>
  <si>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</si>
  <si>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</si>
  <si>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</si>
  <si>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</si>
  <si>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</si>
  <si>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</si>
  <si>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</si>
  <si>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</si>
  <si>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</si>
  <si>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</si>
  <si>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</si>
  <si>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</si>
  <si>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</si>
  <si>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</si>
  <si>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</si>
  <si>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</si>
  <si>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</si>
  <si>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</si>
  <si>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</si>
  <si>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</si>
  <si>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</si>
  <si>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</si>
  <si>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</si>
  <si>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</si>
  <si>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</si>
  <si>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</si>
  <si>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</si>
  <si>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</si>
  <si>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</si>
  <si>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</si>
  <si>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</si>
  <si>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</si>
  <si>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</si>
  <si>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</si>
  <si>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</si>
  <si>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</si>
  <si>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</si>
  <si>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</si>
  <si>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</si>
  <si>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</si>
  <si>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</si>
  <si>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</si>
  <si>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</si>
  <si>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</si>
  <si>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</si>
  <si>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</si>
  <si>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</si>
  <si>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</si>
  <si>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</si>
  <si>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</si>
  <si>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</si>
  <si>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</si>
  <si>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</si>
  <si>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</si>
  <si>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</si>
  <si>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</si>
  <si>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</si>
  <si>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</si>
  <si>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</si>
  <si>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</si>
  <si>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</si>
  <si>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</si>
  <si>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</si>
  <si>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</si>
  <si>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</si>
  <si>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</si>
  <si>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</si>
  <si>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</si>
  <si>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</si>
  <si>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</si>
  <si>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</si>
  <si>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</si>
  <si>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</si>
  <si>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</si>
  <si>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</si>
  <si>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</si>
  <si>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</si>
  <si>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</si>
  <si>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</si>
  <si>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</si>
  <si>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</si>
  <si>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</si>
  <si>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</si>
  <si>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</si>
  <si>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</si>
  <si>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</si>
  <si>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</si>
  <si>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</si>
  <si>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</si>
  <si>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</si>
  <si>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</si>
  <si>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</si>
  <si>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</si>
  <si>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</si>
  <si>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</si>
  <si>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</si>
  <si>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</si>
  <si>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</si>
  <si>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</si>
  <si>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</si>
  <si>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</si>
  <si>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</si>
  <si>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</si>
  <si>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</si>
  <si>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</si>
  <si>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</si>
  <si>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</si>
  <si>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</si>
  <si>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</si>
  <si>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</si>
  <si>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</si>
  <si>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</si>
  <si>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</si>
  <si>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</si>
  <si>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</si>
  <si>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</si>
  <si>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</si>
  <si>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</si>
  <si>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</si>
  <si>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</si>
  <si>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</si>
  <si>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</si>
  <si>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</si>
  <si>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</si>
  <si>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</si>
  <si>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</si>
  <si>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</si>
  <si>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</si>
  <si>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</si>
  <si>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</si>
  <si>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</si>
  <si>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</si>
  <si>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</si>
  <si>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</si>
  <si>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</si>
  <si>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</si>
  <si>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</si>
  <si>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</si>
  <si>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</si>
  <si>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</si>
  <si>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</si>
  <si>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</si>
  <si>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</si>
  <si>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</si>
  <si>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</si>
  <si>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</si>
  <si>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</si>
  <si>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</si>
  <si>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</si>
  <si>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</si>
  <si>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</si>
  <si>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</si>
  <si>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</si>
  <si>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</si>
  <si>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</si>
  <si>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</si>
  <si>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</si>
  <si>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</si>
  <si>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</si>
  <si>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</si>
  <si>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</si>
  <si>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</si>
  <si>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</si>
  <si>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</si>
  <si>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</si>
  <si>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</si>
  <si>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</si>
  <si>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</si>
  <si>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</si>
  <si>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</si>
  <si>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</si>
  <si>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</si>
  <si>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</si>
  <si>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</si>
  <si>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</si>
  <si>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</si>
  <si>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</si>
  <si>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</si>
  <si>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</si>
  <si>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</si>
  <si>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</si>
  <si>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</si>
  <si>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</si>
  <si>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</si>
  <si>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</si>
  <si>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</si>
  <si>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</si>
  <si>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</si>
  <si>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</si>
  <si>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</si>
  <si>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</si>
  <si>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</si>
  <si>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</si>
  <si>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</si>
  <si>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</si>
  <si>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</si>
  <si>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</si>
  <si>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</si>
  <si>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</si>
  <si>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</si>
  <si>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</si>
  <si>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</si>
  <si>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</si>
  <si>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</si>
  <si>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</si>
  <si>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</si>
  <si>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</si>
  <si>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</si>
  <si>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</si>
  <si>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</si>
  <si>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</si>
  <si>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</si>
  <si>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</si>
  <si>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</si>
  <si>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</si>
  <si>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</si>
  <si>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</si>
  <si>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</si>
  <si>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</si>
  <si>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</si>
  <si>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</si>
  <si>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</si>
  <si>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</si>
  <si>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</si>
  <si>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</si>
  <si>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</si>
  <si>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</si>
  <si>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</si>
  <si>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</si>
  <si>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</si>
  <si>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</si>
  <si>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</si>
  <si>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</si>
  <si>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</si>
  <si>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</si>
  <si>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</si>
  <si>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</si>
  <si>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</si>
  <si>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</si>
  <si>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</si>
  <si>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</si>
  <si>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</si>
  <si>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</si>
  <si>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</si>
  <si>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</si>
  <si>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</si>
  <si>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</si>
  <si>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</si>
  <si>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</si>
  <si>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</si>
  <si>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</si>
  <si>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</si>
  <si>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</si>
  <si>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</si>
  <si>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</si>
  <si>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</si>
  <si>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</si>
  <si>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</si>
  <si>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</si>
  <si>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</si>
  <si>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</si>
  <si>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</si>
  <si>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</si>
  <si>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</si>
  <si>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</si>
  <si>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</si>
  <si>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</si>
  <si>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</si>
  <si>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</si>
  <si>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</si>
  <si>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</si>
  <si>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</si>
  <si>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</si>
  <si>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</si>
  <si>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</si>
  <si>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</si>
  <si>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</si>
  <si>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</si>
  <si>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</si>
  <si>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</si>
  <si>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</si>
  <si>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</si>
  <si>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</si>
  <si>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</si>
  <si>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</si>
  <si>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</si>
  <si>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</si>
  <si>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</si>
  <si>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</si>
  <si>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</si>
  <si>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</si>
  <si>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</si>
  <si>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</si>
  <si>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</si>
  <si>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</si>
  <si>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</si>
  <si>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</si>
  <si>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</si>
  <si>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</si>
  <si>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</si>
  <si>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</si>
  <si>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</si>
  <si>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</si>
  <si>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</si>
  <si>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</si>
  <si>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</si>
  <si>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</si>
  <si>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</si>
  <si>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</si>
  <si>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</si>
  <si>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</si>
  <si>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</si>
  <si>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</si>
  <si>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</si>
  <si>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</si>
  <si>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</si>
  <si>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</si>
  <si>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</si>
  <si>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</si>
  <si>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</si>
  <si>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</si>
  <si>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</si>
  <si>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</si>
  <si>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</si>
  <si>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</si>
  <si>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</si>
  <si>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</si>
  <si>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</si>
  <si>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</si>
  <si>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</si>
  <si>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</si>
  <si>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</si>
  <si>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</si>
  <si>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</si>
  <si>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</si>
  <si>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</si>
  <si>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</si>
  <si>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</si>
  <si>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</si>
  <si>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</si>
  <si>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</si>
  <si>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</si>
  <si>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</si>
  <si>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</si>
  <si>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</si>
  <si>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</si>
  <si>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</si>
  <si>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</si>
  <si>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</si>
  <si>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</si>
  <si>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</si>
  <si>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</si>
  <si>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</si>
  <si>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</si>
  <si>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</si>
  <si>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</si>
  <si>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</si>
  <si>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</si>
  <si>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</si>
  <si>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</si>
  <si>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</si>
  <si>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</si>
  <si>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</si>
  <si>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</si>
  <si>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</si>
  <si>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</si>
  <si>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</si>
  <si>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</si>
  <si>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</si>
  <si>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</si>
  <si>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</si>
  <si>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</si>
  <si>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</si>
  <si>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</si>
  <si>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</si>
  <si>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</si>
  <si>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</si>
  <si>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</si>
  <si>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</si>
  <si>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</si>
  <si>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</si>
  <si>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</si>
  <si>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</si>
  <si>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</si>
  <si>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</si>
  <si>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</si>
  <si>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</si>
  <si>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</si>
  <si>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</si>
  <si>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</si>
  <si>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</si>
  <si>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</si>
  <si>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</si>
  <si>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</si>
  <si>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</si>
  <si>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</si>
  <si>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</si>
  <si>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</si>
  <si>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</si>
  <si>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</si>
  <si>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</si>
  <si>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</si>
  <si>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</si>
  <si>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</si>
  <si>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</si>
  <si>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</si>
  <si>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</si>
  <si>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</si>
  <si>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</si>
  <si>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</si>
  <si>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</si>
  <si>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</si>
  <si>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</si>
  <si>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</si>
  <si>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</si>
  <si>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</si>
  <si>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</si>
  <si>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</si>
  <si>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</si>
  <si>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</si>
  <si>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</si>
  <si>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</si>
  <si>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</si>
  <si>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</si>
  <si>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</si>
  <si>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</si>
  <si>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</si>
  <si>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</si>
  <si>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</si>
  <si>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</si>
  <si>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</si>
  <si>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</si>
  <si>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</si>
  <si>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</si>
  <si>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</si>
  <si>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</si>
  <si>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</si>
  <si>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</si>
  <si>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</si>
  <si>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</si>
  <si>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</si>
  <si>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</si>
  <si>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</si>
  <si>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</si>
  <si>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</si>
  <si>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</si>
  <si>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</si>
  <si>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</si>
  <si>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</si>
  <si>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</si>
  <si>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</si>
  <si>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</si>
  <si>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</si>
  <si>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</si>
  <si>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</si>
  <si>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</si>
  <si>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</si>
  <si>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</si>
  <si>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</si>
  <si>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</si>
  <si>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</si>
  <si>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</si>
  <si>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</si>
  <si>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</si>
  <si>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</si>
  <si>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</si>
  <si>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</si>
  <si>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</si>
  <si>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</si>
  <si>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</si>
  <si>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</si>
  <si>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</si>
  <si>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</si>
  <si>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</si>
  <si>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</si>
  <si>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</si>
  <si>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</si>
  <si>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</si>
  <si>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</si>
  <si>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</si>
  <si>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</si>
  <si>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</si>
  <si>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</si>
  <si>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</si>
  <si>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</si>
  <si>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</si>
  <si>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</si>
  <si>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</si>
  <si>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</si>
  <si>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</si>
  <si>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</si>
  <si>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</si>
  <si>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</si>
  <si>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</si>
  <si>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</si>
  <si>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</si>
  <si>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</si>
  <si>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</si>
  <si>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</si>
  <si>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</si>
  <si>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</si>
  <si>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</si>
  <si>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</si>
  <si>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</si>
  <si>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</si>
  <si>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</si>
  <si>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</si>
  <si>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</si>
  <si>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</si>
  <si>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</si>
  <si>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</si>
  <si>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</si>
  <si>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</si>
  <si>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</si>
  <si>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</si>
  <si>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</si>
  <si>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</si>
  <si>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</si>
  <si>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</si>
  <si>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</si>
  <si>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</si>
  <si>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</si>
  <si>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</si>
  <si>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</si>
  <si>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</si>
  <si>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</si>
  <si>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</si>
  <si>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</si>
  <si>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</si>
  <si>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</si>
  <si>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</si>
  <si>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</si>
  <si>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</si>
  <si>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</si>
  <si>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</si>
  <si>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</si>
  <si>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</si>
  <si>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</si>
  <si>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</si>
  <si>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</si>
  <si>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</si>
  <si>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</si>
  <si>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</si>
  <si>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</si>
  <si>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</si>
  <si>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</si>
  <si>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</si>
  <si>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</si>
  <si>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</si>
  <si>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</si>
  <si>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</si>
  <si>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</si>
  <si>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</si>
  <si>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</si>
  <si>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</si>
  <si>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</si>
  <si>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</si>
  <si>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</si>
  <si>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</si>
  <si>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</si>
  <si>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</si>
  <si>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</si>
  <si>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</si>
  <si>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</si>
  <si>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</si>
  <si>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</si>
  <si>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</si>
  <si>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</si>
  <si>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</si>
  <si>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</si>
  <si>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</si>
  <si>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</si>
  <si>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</si>
  <si>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</si>
  <si>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</si>
  <si>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</si>
  <si>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</si>
  <si>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</si>
  <si>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</si>
  <si>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</si>
  <si>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</si>
  <si>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</si>
  <si>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</si>
  <si>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</si>
  <si>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</si>
  <si>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</si>
  <si>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</si>
  <si>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</si>
  <si>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</si>
  <si>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</si>
  <si>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</si>
  <si>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</si>
  <si>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</si>
  <si>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</si>
  <si>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</si>
  <si>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</si>
  <si>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</si>
  <si>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</si>
  <si>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</si>
  <si>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</si>
  <si>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</si>
  <si>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</si>
  <si>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</si>
  <si>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</si>
  <si>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</si>
  <si>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</si>
  <si>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</si>
  <si>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</si>
  <si>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</si>
  <si>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</si>
  <si>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</si>
  <si>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</si>
  <si>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</si>
  <si>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</si>
  <si>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</si>
  <si>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</si>
  <si>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</si>
  <si>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</si>
  <si>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</si>
  <si>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</si>
  <si>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</si>
  <si>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</si>
  <si>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</si>
  <si>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</si>
  <si>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</si>
  <si>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</si>
  <si>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</si>
  <si>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</si>
  <si>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</si>
  <si>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</si>
  <si>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</si>
  <si>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</si>
  <si>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</si>
  <si>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</si>
  <si>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</si>
  <si>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</si>
  <si>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</si>
  <si>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</si>
  <si>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</si>
  <si>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</si>
  <si>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</si>
  <si>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</si>
  <si>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</si>
  <si>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</si>
  <si>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</si>
  <si>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</si>
  <si>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</si>
  <si>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</si>
  <si>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</si>
  <si>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</si>
  <si>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</si>
  <si>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</si>
  <si>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</si>
  <si>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</si>
  <si>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</si>
  <si>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</si>
  <si>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</si>
  <si>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</si>
  <si>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</si>
  <si>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</si>
  <si>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</si>
  <si>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</si>
  <si>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</si>
  <si>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</si>
  <si>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</si>
  <si>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</si>
  <si>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</si>
  <si>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</si>
  <si>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</si>
  <si>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</si>
  <si>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</si>
  <si>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</si>
  <si>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</si>
  <si>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</si>
  <si>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</si>
  <si>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</si>
  <si>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</si>
  <si>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</si>
  <si>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</si>
  <si>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</si>
  <si>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</si>
  <si>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</si>
  <si>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</si>
  <si>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</si>
  <si>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</si>
  <si>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</si>
  <si>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</si>
  <si>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</si>
  <si>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</si>
  <si>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</si>
  <si>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</si>
  <si>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</si>
  <si>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</si>
  <si>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</si>
  <si>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</si>
  <si>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</si>
  <si>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</si>
  <si>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</si>
  <si>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</si>
  <si>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</si>
  <si>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</si>
  <si>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</si>
  <si>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</si>
  <si>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</si>
  <si>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</si>
  <si>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</si>
  <si>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</si>
  <si>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</si>
  <si>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</si>
  <si>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</si>
  <si>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</si>
  <si>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</si>
  <si>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</si>
  <si>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</si>
  <si>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</si>
  <si>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</si>
  <si>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</si>
  <si>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</si>
  <si>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</si>
  <si>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</si>
  <si>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</si>
  <si>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</si>
  <si>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</si>
  <si>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</si>
  <si>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</si>
  <si>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</si>
  <si>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</si>
  <si>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</si>
  <si>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</si>
  <si>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</si>
  <si>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</si>
  <si>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</si>
  <si>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</si>
  <si>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</si>
  <si>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</si>
  <si>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</si>
  <si>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</si>
  <si>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</si>
  <si>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</si>
  <si>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</si>
  <si>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</si>
  <si>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</si>
  <si>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</si>
  <si>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</si>
  <si>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</si>
  <si>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</si>
  <si>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</si>
  <si>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</si>
  <si>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</si>
  <si>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</si>
  <si>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</si>
  <si>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</si>
  <si>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</si>
  <si>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</si>
  <si>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</si>
  <si>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</si>
  <si>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</si>
  <si>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</si>
  <si>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</si>
  <si>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</si>
  <si>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</si>
  <si>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</si>
  <si>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</si>
  <si>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</si>
  <si>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</si>
  <si>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</si>
  <si>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</si>
  <si>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</si>
  <si>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</si>
  <si>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</si>
  <si>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</si>
  <si>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</si>
  <si>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</si>
  <si>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</si>
  <si>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</si>
  <si>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</si>
  <si>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</si>
  <si>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</si>
  <si>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</si>
  <si>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</si>
  <si>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</si>
  <si>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</si>
  <si>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</si>
  <si>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</si>
  <si>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</si>
  <si>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</si>
  <si>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</si>
  <si>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</si>
  <si>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</si>
  <si>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</si>
  <si>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</si>
  <si>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</si>
  <si>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</si>
  <si>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</si>
  <si>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</si>
  <si>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</si>
  <si>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</si>
  <si>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</si>
  <si>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</si>
  <si>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</si>
  <si>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</si>
  <si>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</si>
  <si>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</si>
  <si>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</si>
  <si>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</si>
  <si>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</si>
  <si>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</si>
  <si>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</si>
  <si>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</si>
  <si>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</si>
  <si>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</si>
  <si>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</si>
  <si>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</si>
  <si>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</si>
  <si>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</si>
  <si>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</si>
  <si>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</si>
  <si>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</si>
  <si>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</si>
  <si>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</si>
  <si>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</si>
  <si>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</si>
  <si>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</si>
  <si>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</si>
  <si>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</si>
  <si>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</si>
  <si>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</si>
  <si>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</si>
  <si>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</si>
  <si>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</si>
  <si>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</si>
  <si>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</si>
  <si>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</si>
  <si>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</si>
  <si>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</si>
  <si>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</si>
  <si>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</si>
  <si>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</si>
  <si>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</si>
  <si>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</si>
  <si>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</si>
  <si>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</si>
  <si>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</si>
  <si>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</si>
  <si>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</si>
  <si>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</si>
  <si>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</si>
  <si>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</si>
  <si>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</si>
  <si>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</si>
  <si>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</si>
  <si>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</si>
  <si>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</si>
  <si>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</si>
  <si>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</si>
  <si>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</si>
  <si>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</si>
  <si>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</si>
  <si>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</si>
  <si>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</si>
  <si>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</si>
  <si>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</si>
  <si>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</si>
  <si>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</si>
  <si>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</si>
  <si>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</si>
  <si>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</si>
  <si>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</si>
  <si>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</si>
  <si>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</si>
  <si>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</si>
  <si>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</si>
  <si>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</si>
  <si>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</si>
  <si>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</si>
  <si>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</si>
  <si>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</si>
  <si>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</si>
  <si>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</si>
  <si>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</si>
  <si>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</si>
  <si>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</si>
  <si>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</si>
  <si>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</si>
  <si>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</si>
  <si>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</si>
  <si>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</si>
  <si>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</si>
  <si>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</si>
  <si>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</si>
  <si>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</si>
  <si>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</si>
  <si>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</si>
  <si>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</si>
  <si>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</si>
  <si>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</si>
  <si>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</si>
  <si>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</si>
  <si>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</si>
  <si>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</si>
  <si>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</si>
  <si>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</si>
  <si>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</si>
  <si>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</si>
  <si>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</si>
  <si>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</si>
  <si>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</si>
  <si>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</si>
  <si>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</si>
  <si>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</si>
  <si>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</si>
  <si>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</si>
  <si>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</si>
  <si>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</si>
  <si>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</si>
  <si>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</si>
  <si>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</si>
  <si>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</si>
  <si>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</si>
  <si>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</si>
  <si>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</si>
  <si>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</si>
  <si>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</si>
  <si>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</si>
  <si>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</si>
  <si>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</si>
  <si>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</si>
  <si>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</si>
  <si>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</si>
  <si>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</si>
  <si>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</si>
  <si>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</si>
  <si>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</si>
  <si>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</si>
  <si>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</si>
  <si>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</si>
  <si>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</si>
  <si>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</si>
  <si>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</si>
  <si>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</si>
  <si>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</si>
  <si>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</si>
  <si>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</si>
  <si>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</si>
  <si>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</si>
  <si>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</si>
  <si>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</si>
  <si>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</si>
  <si>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</si>
  <si>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</si>
  <si>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</si>
  <si>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</si>
  <si>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</si>
  <si>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</si>
  <si>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</si>
  <si>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</si>
  <si>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</si>
  <si>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</si>
  <si>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</si>
  <si>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</si>
  <si>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</si>
  <si>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</si>
  <si>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</si>
  <si>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</si>
  <si>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</si>
  <si>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</si>
  <si>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</si>
  <si>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</si>
  <si>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</si>
  <si>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</si>
  <si>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</si>
  <si>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</si>
  <si>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</si>
  <si>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</si>
  <si>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</si>
  <si>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</si>
  <si>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</si>
  <si>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</si>
  <si>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</si>
  <si>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</si>
  <si>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</si>
  <si>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</si>
  <si>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</si>
  <si>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</si>
  <si>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</si>
  <si>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</si>
  <si>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</si>
  <si>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</si>
  <si>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</si>
  <si>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</si>
  <si>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</si>
  <si>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</si>
  <si>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</si>
  <si>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</si>
  <si>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</si>
  <si>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</si>
  <si>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</si>
  <si>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</si>
  <si>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</si>
  <si>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</si>
  <si>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</si>
  <si>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</si>
  <si>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</si>
  <si>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</si>
  <si>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</si>
  <si>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</si>
  <si>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</si>
  <si>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</si>
  <si>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</si>
  <si>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</si>
  <si>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</si>
  <si>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</si>
  <si>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</si>
  <si>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</si>
  <si>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</si>
  <si>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</si>
  <si>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</si>
  <si>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</si>
  <si>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</si>
  <si>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</si>
  <si>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</si>
  <si>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</si>
  <si>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</si>
  <si>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</si>
  <si>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</si>
  <si>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</si>
  <si>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</si>
  <si>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</si>
  <si>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</si>
  <si>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</si>
  <si>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</si>
  <si>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</si>
  <si>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</si>
  <si>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</si>
  <si>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</si>
  <si>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</si>
  <si>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</si>
  <si>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</si>
  <si>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</si>
  <si>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</si>
  <si>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</si>
  <si>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</si>
  <si>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</si>
  <si>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</si>
  <si>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</si>
  <si>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</si>
  <si>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</si>
  <si>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</si>
  <si>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</si>
  <si>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</si>
  <si>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</si>
  <si>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</si>
  <si>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</si>
  <si>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</si>
  <si>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</si>
  <si>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</si>
  <si>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</si>
  <si>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</si>
  <si>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</si>
  <si>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</si>
  <si>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</si>
  <si>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</si>
  <si>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</si>
  <si>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</si>
  <si>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</si>
  <si>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</si>
  <si>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</si>
  <si>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</si>
  <si>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</si>
  <si>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</si>
  <si>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</si>
  <si>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</si>
  <si>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</si>
  <si>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</si>
  <si>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</si>
  <si>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</si>
  <si>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</si>
  <si>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</si>
  <si>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</si>
  <si>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</si>
  <si>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</si>
  <si>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</si>
  <si>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</si>
  <si>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</si>
  <si>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</si>
  <si>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</si>
  <si>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</si>
  <si>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</si>
  <si>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</si>
  <si>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</si>
  <si>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</si>
  <si>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</si>
  <si>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</si>
  <si>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</si>
  <si>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</si>
  <si>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</si>
  <si>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</si>
  <si>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</si>
  <si>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</si>
  <si>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</si>
  <si>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</si>
  <si>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</si>
  <si>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</si>
  <si>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</si>
  <si>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</si>
  <si>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</si>
  <si>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</si>
  <si>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</si>
  <si>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</si>
  <si>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</si>
  <si>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</si>
  <si>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</si>
  <si>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</si>
  <si>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</si>
  <si>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</si>
  <si>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</si>
  <si>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</si>
  <si>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</si>
  <si>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</si>
  <si>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</si>
  <si>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</si>
  <si>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</si>
  <si>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</si>
  <si>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</si>
  <si>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</si>
  <si>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</si>
  <si>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</si>
  <si>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</si>
  <si>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</si>
  <si>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</si>
  <si>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</si>
  <si>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</si>
  <si>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</si>
  <si>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</si>
  <si>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</si>
  <si>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</si>
  <si>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</si>
  <si>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</si>
  <si>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</si>
  <si>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</si>
  <si>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</si>
  <si>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</si>
  <si>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</si>
  <si>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</si>
  <si>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</si>
  <si>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</si>
  <si>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</si>
  <si>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</si>
  <si>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</si>
  <si>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</si>
  <si>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</si>
  <si>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</si>
  <si>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</si>
  <si>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</si>
  <si>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</si>
  <si>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</si>
  <si>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</si>
  <si>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</si>
  <si>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</si>
  <si>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</si>
  <si>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</si>
  <si>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</si>
  <si>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</si>
  <si>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</si>
  <si>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</si>
  <si>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</si>
  <si>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</si>
  <si>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</si>
  <si>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</si>
  <si>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</si>
  <si>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</si>
  <si>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</si>
  <si>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</si>
  <si>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</si>
  <si>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</si>
  <si>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</si>
  <si>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</si>
  <si>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</si>
  <si>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</si>
  <si>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</si>
  <si>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</si>
  <si>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</si>
  <si>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</si>
  <si>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</si>
  <si>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</si>
  <si>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</si>
  <si>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</si>
  <si>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</si>
  <si>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</si>
  <si>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</si>
  <si>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</si>
  <si>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</si>
  <si>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</si>
  <si>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</si>
  <si>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</si>
  <si>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</si>
  <si>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</si>
  <si>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</si>
  <si>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</si>
  <si>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</si>
  <si>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</si>
  <si>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</si>
  <si>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</si>
  <si>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</si>
  <si>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</si>
  <si>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</si>
  <si>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</si>
  <si>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</si>
  <si>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</si>
  <si>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</si>
  <si>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</si>
  <si>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</si>
  <si>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</si>
  <si>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</si>
  <si>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</si>
  <si>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</si>
  <si>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</si>
  <si>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</si>
  <si>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</si>
  <si>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</si>
  <si>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</si>
  <si>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</si>
  <si>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</si>
  <si>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</si>
  <si>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</si>
  <si>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</si>
  <si>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</si>
  <si>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</si>
  <si>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</si>
  <si>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</si>
  <si>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</si>
  <si>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</si>
  <si>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</si>
  <si>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</si>
  <si>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</si>
  <si>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</si>
  <si>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</si>
  <si>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</si>
  <si>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</si>
  <si>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</si>
  <si>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</si>
  <si>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</si>
  <si>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</si>
  <si>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</si>
  <si>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</si>
  <si>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</si>
  <si>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</si>
  <si>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</si>
  <si>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</si>
  <si>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</si>
  <si>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</si>
  <si>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</si>
  <si>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</si>
  <si>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</si>
  <si>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</si>
  <si>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</si>
  <si>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</si>
  <si>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</si>
  <si>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</si>
  <si>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</si>
  <si>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</si>
  <si>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</si>
  <si>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</si>
  <si>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</si>
  <si>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</si>
  <si>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</si>
  <si>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</si>
  <si>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</si>
  <si>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</si>
  <si>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</si>
  <si>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</si>
  <si>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</si>
  <si>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</si>
  <si>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</si>
  <si>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</si>
  <si>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</si>
  <si>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</si>
  <si>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</si>
  <si>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</si>
  <si>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</si>
  <si>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</si>
  <si>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</si>
  <si>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</si>
  <si>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</si>
  <si>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</si>
  <si>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</si>
  <si>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</si>
  <si>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</si>
  <si>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</si>
  <si>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</si>
  <si>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</si>
  <si>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</si>
  <si>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</si>
  <si>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</si>
  <si>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</si>
  <si>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</si>
  <si>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</si>
  <si>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</si>
  <si>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</si>
  <si>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</si>
  <si>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</si>
  <si>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</si>
  <si>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</si>
  <si>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</si>
  <si>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</si>
  <si>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</si>
  <si>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</si>
  <si>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</si>
  <si>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</si>
  <si>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</si>
  <si>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</si>
  <si>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</si>
  <si>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</si>
  <si>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</si>
  <si>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</si>
  <si>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</si>
  <si>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</si>
  <si>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</si>
  <si>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</si>
  <si>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</si>
  <si>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</si>
  <si>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</si>
  <si>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</si>
  <si>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</si>
  <si>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</si>
  <si>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</si>
  <si>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</si>
  <si>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</si>
  <si>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</si>
  <si>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</si>
  <si>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</si>
  <si>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</si>
  <si>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</si>
  <si>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</si>
  <si>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</si>
  <si>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</si>
  <si>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</si>
  <si>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</si>
  <si>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</si>
  <si>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</si>
  <si>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</si>
  <si>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</si>
  <si>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</si>
  <si>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</si>
  <si>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</si>
  <si>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</si>
  <si>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</si>
  <si>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</si>
  <si>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</si>
  <si>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</si>
  <si>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</si>
  <si>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</si>
  <si>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</si>
  <si>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</si>
  <si>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</si>
  <si>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</si>
  <si>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</si>
  <si>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</si>
  <si>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</si>
  <si>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</si>
  <si>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</si>
  <si>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</si>
  <si>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</si>
  <si>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</si>
  <si>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</si>
  <si>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</si>
  <si>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</si>
  <si>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</si>
  <si>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</si>
  <si>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</si>
  <si>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</si>
  <si>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</si>
  <si>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</si>
  <si>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</si>
  <si>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</si>
  <si>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</si>
  <si>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</si>
  <si>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</si>
  <si>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</si>
  <si>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</si>
  <si>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</si>
  <si>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</si>
  <si>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</si>
  <si>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</si>
  <si>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</si>
  <si>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</si>
  <si>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</si>
  <si>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</si>
  <si>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</si>
  <si>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</si>
  <si>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</si>
  <si>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</si>
  <si>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</si>
  <si>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</si>
  <si>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</si>
  <si>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</si>
  <si>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</si>
  <si>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</si>
  <si>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</si>
  <si>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</si>
  <si>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</si>
  <si>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</si>
  <si>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</si>
  <si>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</si>
  <si>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</si>
  <si>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</si>
  <si>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</si>
  <si>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</si>
  <si>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</si>
  <si>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</si>
  <si>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</si>
  <si>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</si>
  <si>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</si>
  <si>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</si>
  <si>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</si>
  <si>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</si>
  <si>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</si>
  <si>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</si>
  <si>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</si>
  <si>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</si>
  <si>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</si>
  <si>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</si>
  <si>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</si>
  <si>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</si>
  <si>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</si>
  <si>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</si>
  <si>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</si>
  <si>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</si>
  <si>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</si>
  <si>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</si>
  <si>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</si>
  <si>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</si>
  <si>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</si>
  <si>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</si>
  <si>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</si>
  <si>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</si>
  <si>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</si>
  <si>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</si>
  <si>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</si>
  <si>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</si>
  <si>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</si>
  <si>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</si>
  <si>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</si>
  <si>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</si>
  <si>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</si>
  <si>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</si>
  <si>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</si>
  <si>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</si>
  <si>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</si>
  <si>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</si>
  <si>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</si>
  <si>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</si>
  <si>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</si>
  <si>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</si>
  <si>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</si>
  <si>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</si>
  <si>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</si>
  <si>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</si>
  <si>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</si>
  <si>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</si>
  <si>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</si>
  <si>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</si>
  <si>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</si>
  <si>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</si>
  <si>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</si>
  <si>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</si>
  <si>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</si>
  <si>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</si>
  <si>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</si>
  <si>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</si>
  <si>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</si>
  <si>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</si>
  <si>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</si>
  <si>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</si>
  <si>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</si>
  <si>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</si>
  <si>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</si>
  <si>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</si>
  <si>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</si>
  <si>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</si>
  <si>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</si>
  <si>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</si>
  <si>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</si>
  <si>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</si>
  <si>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</si>
  <si>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</si>
  <si>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</si>
  <si>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</si>
  <si>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</si>
  <si>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</si>
  <si>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</si>
  <si>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</si>
  <si>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</si>
  <si>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</si>
  <si>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</si>
  <si>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</si>
  <si>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</si>
  <si>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</si>
  <si>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</si>
  <si>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</si>
  <si>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</si>
  <si>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</si>
  <si>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</si>
  <si>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</si>
  <si>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</si>
  <si>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</si>
  <si>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</si>
  <si>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</si>
  <si>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</si>
  <si>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</si>
  <si>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</si>
  <si>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</si>
  <si>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</si>
  <si>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</si>
  <si>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</si>
  <si>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</si>
  <si>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</si>
  <si>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</si>
  <si>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</si>
  <si>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</si>
  <si>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</si>
  <si>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</si>
  <si>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</si>
  <si>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</si>
  <si>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</si>
  <si>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</si>
  <si>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</si>
  <si>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</si>
  <si>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</si>
  <si>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</si>
  <si>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</si>
  <si>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</si>
  <si>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</si>
  <si>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</si>
  <si>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</si>
  <si>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</si>
  <si>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</si>
  <si>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</si>
  <si>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</si>
  <si>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</si>
  <si>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</si>
  <si>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</si>
  <si>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</si>
  <si>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</si>
  <si>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</si>
  <si>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</si>
  <si>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</si>
  <si>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</si>
  <si>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</si>
  <si>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</si>
  <si>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</si>
  <si>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</si>
  <si>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</si>
  <si>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</si>
  <si>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</si>
  <si>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</si>
  <si>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</si>
  <si>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</si>
  <si>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</si>
  <si>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</si>
  <si>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</si>
  <si>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</si>
  <si>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</si>
  <si>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</si>
  <si>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</si>
  <si>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</si>
  <si>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</si>
  <si>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</si>
  <si>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</si>
  <si>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</si>
  <si>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</si>
  <si>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</si>
  <si>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</si>
  <si>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</si>
  <si>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</si>
  <si>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</si>
  <si>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</si>
  <si>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</si>
  <si>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</si>
  <si>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</si>
  <si>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</si>
  <si>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</si>
  <si>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</si>
  <si>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</si>
  <si>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</si>
  <si>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</si>
  <si>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</si>
  <si>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</si>
  <si>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</si>
  <si>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</si>
  <si>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</si>
  <si>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</si>
  <si>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</si>
  <si>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</si>
  <si>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</si>
  <si>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</si>
  <si>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</si>
  <si>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</si>
  <si>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</si>
  <si>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</si>
  <si>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</si>
  <si>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</si>
  <si>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</si>
  <si>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</si>
  <si>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</si>
  <si>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</si>
  <si>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</si>
  <si>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</si>
  <si>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</si>
  <si>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</si>
  <si>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</si>
  <si>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</si>
  <si>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</si>
  <si>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</si>
  <si>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</si>
  <si>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</si>
  <si>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</si>
  <si>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</si>
  <si>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</si>
  <si>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</si>
  <si>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</si>
  <si>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</si>
  <si>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</si>
  <si>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</si>
  <si>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</si>
  <si>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</si>
  <si>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</si>
  <si>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</si>
  <si>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</si>
  <si>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</si>
  <si>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</si>
  <si>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</si>
  <si>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</si>
  <si>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</si>
  <si>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</si>
  <si>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</si>
  <si>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</si>
  <si>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</si>
  <si>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</si>
  <si>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</si>
  <si>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</si>
  <si>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</si>
  <si>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</si>
  <si>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</si>
  <si>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</si>
  <si>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</si>
  <si>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</si>
  <si>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</si>
  <si>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</si>
  <si>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</si>
  <si>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</si>
  <si>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</si>
  <si>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</si>
  <si>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</si>
  <si>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</si>
  <si>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</si>
  <si>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</si>
  <si>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</si>
  <si>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</si>
  <si>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</si>
  <si>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</si>
  <si>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</si>
  <si>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</si>
  <si>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</si>
  <si>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</si>
  <si>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</si>
  <si>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</si>
  <si>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</si>
  <si>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</si>
  <si>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</si>
  <si>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</si>
  <si>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</si>
  <si>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</si>
  <si>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</si>
  <si>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</si>
  <si>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</si>
  <si>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</si>
  <si>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</si>
  <si>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</si>
  <si>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</si>
  <si>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</si>
  <si>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</si>
  <si>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</si>
  <si>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</si>
  <si>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</si>
  <si>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</si>
  <si>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</si>
  <si>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</si>
  <si>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</si>
  <si>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</si>
  <si>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</si>
  <si>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</si>
  <si>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</si>
  <si>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</si>
  <si>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</si>
  <si>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</si>
  <si>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</si>
  <si>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</si>
  <si>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</si>
  <si>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</si>
  <si>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</si>
  <si>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</si>
  <si>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</si>
  <si>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</si>
  <si>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</si>
  <si>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</si>
  <si>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</si>
  <si>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</si>
  <si>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</si>
  <si>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</si>
  <si>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</si>
  <si>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</si>
  <si>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</si>
  <si>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</si>
  <si>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</si>
  <si>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</si>
  <si>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</si>
  <si>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</si>
  <si>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</si>
  <si>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</si>
  <si>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</si>
  <si>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</si>
  <si>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</si>
  <si>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</si>
  <si>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</si>
  <si>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</si>
  <si>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</si>
  <si>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</si>
  <si>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</si>
  <si>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</si>
  <si>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</si>
  <si>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</si>
  <si>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</si>
  <si>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</si>
  <si>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</si>
  <si>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</si>
  <si>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</si>
  <si>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</si>
  <si>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</si>
  <si>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</si>
  <si>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</si>
  <si>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</si>
  <si>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</si>
  <si>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</si>
  <si>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</si>
  <si>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</si>
  <si>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</si>
  <si>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</si>
  <si>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</si>
  <si>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</si>
  <si>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</si>
  <si>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</si>
  <si>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</si>
  <si>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</si>
  <si>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</si>
  <si>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</si>
  <si>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</si>
  <si>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</si>
  <si>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</si>
  <si>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</si>
  <si>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</si>
  <si>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</si>
  <si>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</si>
  <si>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</si>
  <si>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</si>
  <si>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</si>
  <si>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</si>
  <si>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</si>
  <si>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</si>
  <si>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</si>
  <si>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</si>
  <si>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</si>
  <si>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</si>
  <si>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</si>
  <si>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</si>
  <si>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</si>
  <si>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</si>
  <si>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</si>
  <si>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</si>
  <si>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</si>
  <si>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</si>
  <si>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</si>
  <si>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</si>
  <si>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</si>
  <si>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</si>
  <si>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</si>
  <si>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</si>
  <si>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</si>
  <si>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</si>
  <si>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</si>
  <si>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</si>
  <si>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</si>
  <si>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</si>
  <si>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</si>
  <si>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</si>
  <si>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</si>
  <si>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</si>
  <si>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</si>
  <si>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</si>
  <si>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</si>
  <si>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</si>
  <si>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</si>
  <si>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</si>
  <si>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</si>
  <si>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</si>
  <si>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</si>
  <si>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</si>
  <si>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</si>
  <si>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</si>
  <si>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</si>
  <si>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</si>
  <si>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</si>
  <si>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</si>
  <si>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</si>
  <si>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</si>
  <si>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</si>
  <si>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</si>
  <si>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</si>
  <si>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</si>
  <si>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</si>
  <si>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</si>
  <si>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</si>
  <si>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</si>
  <si>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</si>
  <si>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</si>
  <si>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</si>
  <si>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</si>
  <si>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</si>
  <si>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</si>
  <si>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</si>
  <si>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</si>
  <si>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</si>
  <si>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</si>
  <si>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</si>
  <si>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</si>
  <si>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</si>
  <si>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</si>
  <si>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</si>
  <si>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</si>
  <si>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</si>
  <si>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</si>
  <si>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</si>
  <si>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</si>
  <si>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</si>
  <si>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</si>
  <si>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</si>
  <si>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</si>
  <si>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</si>
  <si>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</si>
  <si>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</si>
  <si>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</si>
  <si>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</si>
  <si>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</si>
  <si>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</si>
  <si>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</si>
  <si>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</si>
  <si>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</si>
  <si>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</si>
  <si>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</si>
  <si>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</si>
  <si>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</si>
  <si>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</si>
  <si>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</si>
  <si>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</si>
  <si>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</si>
  <si>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</si>
  <si>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</si>
  <si>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</si>
  <si>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</si>
  <si>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</si>
  <si>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</si>
  <si>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</si>
  <si>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</si>
  <si>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</si>
  <si>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</si>
  <si>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</si>
  <si>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</si>
  <si>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</si>
  <si>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</si>
  <si>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</si>
  <si>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</si>
  <si>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</si>
  <si>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</si>
  <si>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</si>
  <si>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</si>
  <si>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</si>
  <si>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</si>
  <si>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</si>
  <si>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</si>
  <si>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</si>
  <si>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</si>
  <si>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</si>
  <si>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</si>
  <si>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</si>
  <si>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</si>
  <si>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</si>
  <si>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</si>
  <si>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</si>
  <si>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</si>
  <si>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</si>
  <si>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</si>
  <si>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</si>
  <si>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</si>
  <si>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</si>
  <si>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</si>
  <si>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</si>
  <si>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</si>
  <si>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</si>
  <si>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</si>
  <si>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</si>
  <si>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</si>
  <si>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</si>
  <si>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</si>
  <si>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</si>
  <si>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</si>
  <si>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</si>
  <si>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</si>
  <si>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</si>
  <si>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</si>
  <si>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</si>
  <si>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</si>
  <si>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</si>
  <si>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</si>
  <si>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</si>
  <si>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</si>
  <si>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</si>
  <si>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</si>
  <si>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</si>
  <si>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</si>
  <si>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</si>
  <si>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</si>
  <si>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</si>
  <si>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</si>
  <si>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</si>
  <si>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</si>
  <si>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</si>
  <si>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</si>
  <si>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</si>
  <si>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</si>
  <si>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</si>
  <si>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</si>
  <si>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</si>
  <si>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</si>
  <si>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</si>
  <si>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</si>
  <si>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</si>
  <si>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</si>
  <si>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</si>
  <si>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</si>
  <si>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</si>
  <si>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</si>
  <si>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</si>
  <si>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</si>
  <si>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</si>
  <si>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</si>
  <si>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</si>
  <si>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</si>
  <si>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</si>
  <si>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</si>
  <si>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</si>
  <si>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</si>
  <si>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</si>
  <si>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</si>
  <si>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</si>
  <si>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</si>
  <si>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</si>
  <si>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</si>
  <si>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</si>
  <si>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</si>
  <si>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</si>
  <si>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</si>
  <si>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</si>
  <si>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</si>
  <si>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</si>
  <si>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</si>
  <si>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</si>
  <si>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</si>
  <si>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</si>
  <si>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</si>
  <si>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</si>
  <si>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</si>
  <si>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</si>
  <si>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</si>
  <si>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</si>
  <si>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</si>
  <si>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</si>
  <si>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</si>
  <si>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</si>
  <si>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</si>
  <si>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</si>
  <si>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</si>
  <si>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</si>
  <si>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</si>
  <si>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</si>
  <si>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</si>
  <si>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</si>
  <si>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</si>
  <si>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</si>
  <si>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</si>
  <si>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</si>
  <si>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</si>
  <si>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</si>
  <si>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</si>
  <si>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</si>
  <si>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</si>
  <si>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</si>
  <si>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</si>
  <si>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</si>
  <si>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</si>
  <si>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</si>
  <si>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</si>
  <si>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</si>
  <si>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</si>
  <si>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</si>
  <si>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</si>
  <si>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</si>
  <si>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</si>
  <si>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</si>
  <si>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</si>
  <si>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</si>
  <si>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</si>
  <si>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</si>
  <si>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</si>
  <si>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</si>
  <si>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</si>
  <si>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</si>
  <si>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</si>
  <si>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</si>
  <si>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</si>
  <si>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</si>
  <si>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</si>
  <si>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</si>
  <si>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</si>
  <si>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</si>
  <si>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</si>
  <si>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</si>
  <si>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</si>
  <si>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</si>
  <si>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</si>
  <si>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</si>
  <si>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</si>
  <si>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</si>
  <si>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</si>
  <si>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</si>
  <si>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</si>
  <si>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</si>
  <si>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</si>
  <si>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</si>
  <si>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</si>
  <si>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</si>
  <si>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</si>
  <si>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</si>
  <si>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</si>
  <si>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</si>
  <si>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</si>
  <si>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</si>
  <si>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</si>
  <si>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</si>
  <si>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</si>
  <si>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</si>
  <si>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</si>
  <si>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</si>
  <si>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</si>
  <si>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</si>
  <si>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</si>
  <si>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</si>
  <si>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</si>
  <si>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</si>
  <si>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</si>
  <si>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</si>
  <si>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</si>
  <si>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</si>
  <si>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</si>
  <si>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</si>
  <si>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</si>
  <si>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</si>
  <si>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</si>
  <si>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</si>
  <si>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</si>
  <si>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</si>
  <si>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</si>
  <si>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</si>
  <si>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</si>
  <si>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</si>
  <si>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</si>
  <si>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</si>
  <si>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</si>
  <si>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</si>
  <si>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</si>
  <si>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</si>
  <si>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</si>
  <si>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</si>
  <si>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</si>
  <si>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</si>
  <si>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</si>
  <si>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</si>
  <si>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</si>
  <si>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</si>
  <si>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</si>
  <si>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</si>
  <si>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</si>
  <si>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</si>
  <si>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</si>
  <si>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</si>
  <si>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</si>
  <si>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郑燚</t>
  </si>
  <si>
    <t>崔锴</t>
  </si>
  <si>
    <t>保定通美晶体制造有限责任公司</t>
  </si>
  <si>
    <t>保定通美晶体制造有限责任公司</t>
    <phoneticPr fontId="6" type="noConversion"/>
  </si>
  <si>
    <t>抵押</t>
  </si>
  <si>
    <t>房地产抵押价值</t>
  </si>
  <si>
    <t>其他：</t>
  </si>
  <si>
    <t>河北省保定市</t>
    <phoneticPr fontId="6" type="noConversion"/>
  </si>
  <si>
    <r>
      <rPr>
        <sz val="12"/>
        <color theme="9" tint="-0.249977111117893"/>
        <rFont val="宋体"/>
        <family val="3"/>
        <charset val="134"/>
      </rPr>
      <t>定兴县新</t>
    </r>
    <r>
      <rPr>
        <sz val="12"/>
        <color theme="9" tint="-0.249977111117893"/>
        <rFont val="Arial"/>
        <family val="2"/>
      </rPr>
      <t>107</t>
    </r>
    <r>
      <rPr>
        <sz val="12"/>
        <color theme="9" tint="-0.249977111117893"/>
        <rFont val="宋体"/>
        <family val="3"/>
        <charset val="134"/>
      </rPr>
      <t>国道东侧</t>
    </r>
    <phoneticPr fontId="6" type="noConversion"/>
  </si>
  <si>
    <t>企业</t>
  </si>
  <si>
    <t>出让</t>
  </si>
  <si>
    <t>否</t>
  </si>
  <si>
    <t>《不动产权证书》</t>
  </si>
  <si>
    <t>复印件</t>
  </si>
  <si>
    <t>工业项目</t>
  </si>
  <si>
    <t>无</t>
  </si>
  <si>
    <t>现房</t>
  </si>
  <si>
    <t>通路</t>
  </si>
  <si>
    <t>通电</t>
  </si>
  <si>
    <t>通讯</t>
  </si>
  <si>
    <t>通上水</t>
  </si>
  <si>
    <t>通下水</t>
  </si>
  <si>
    <t>是</t>
  </si>
  <si>
    <t>地上</t>
  </si>
  <si>
    <t>工业用房</t>
  </si>
  <si>
    <t>工业用房</t>
    <phoneticPr fontId="16" type="noConversion"/>
  </si>
  <si>
    <t>工业用房</t>
    <phoneticPr fontId="7" type="noConversion"/>
  </si>
  <si>
    <t>成新度</t>
  </si>
  <si>
    <t>耐用年限</t>
    <phoneticPr fontId="3" type="noConversion"/>
  </si>
  <si>
    <t>建筑面积</t>
    <phoneticPr fontId="3" type="noConversion"/>
  </si>
  <si>
    <t>钢结构生产用房</t>
    <phoneticPr fontId="3" type="noConversion"/>
  </si>
  <si>
    <t>钢混研发</t>
    <phoneticPr fontId="3" type="noConversion"/>
  </si>
  <si>
    <t>残值率</t>
    <phoneticPr fontId="3" type="noConversion"/>
  </si>
  <si>
    <t>成新率</t>
    <phoneticPr fontId="3" type="noConversion"/>
  </si>
  <si>
    <t>收益法</t>
  </si>
  <si>
    <t>较好</t>
  </si>
  <si>
    <t>较好</t>
    <phoneticPr fontId="41" type="noConversion"/>
  </si>
  <si>
    <t>一般</t>
  </si>
  <si>
    <t>一般</t>
    <phoneticPr fontId="41" type="noConversion"/>
  </si>
  <si>
    <t>一般</t>
    <phoneticPr fontId="41" type="noConversion"/>
  </si>
  <si>
    <t>厂房</t>
    <phoneticPr fontId="143" type="noConversion"/>
  </si>
  <si>
    <t>办公</t>
    <phoneticPr fontId="143" type="noConversion"/>
  </si>
  <si>
    <t>按租金收入计税</t>
  </si>
  <si>
    <t>钢混</t>
  </si>
  <si>
    <t>生产用房</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</si>
  <si>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</si>
  <si>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</si>
  <si>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</si>
  <si>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</si>
  <si>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</si>
  <si>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</si>
  <si>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</si>
  <si>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</si>
  <si>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</si>
  <si>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</si>
  <si>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</si>
  <si>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</si>
  <si>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</si>
  <si>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</si>
  <si>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</si>
  <si>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</si>
  <si>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</si>
  <si>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</si>
  <si>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</si>
  <si>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</si>
  <si>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</si>
  <si>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</si>
  <si>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</si>
  <si>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</si>
  <si>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</si>
  <si>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</si>
  <si>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</si>
  <si>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</si>
  <si>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</si>
  <si>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</si>
  <si>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</si>
  <si>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</si>
  <si>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</si>
  <si>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</si>
  <si>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</si>
  <si>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</si>
  <si>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</si>
  <si>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</si>
  <si>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</si>
  <si>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</si>
  <si>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</si>
  <si>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</si>
  <si>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</si>
  <si>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</si>
  <si>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</si>
  <si>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定兴县新107国道东侧</t>
  </si>
  <si>
    <t>保定市</t>
  </si>
  <si>
    <t>工业用地</t>
  </si>
  <si>
    <t>定兴县</t>
  </si>
  <si>
    <t>挂牌</t>
  </si>
  <si>
    <t>大于或等于1</t>
  </si>
  <si>
    <t>大于或等于30</t>
  </si>
  <si>
    <t>未开工</t>
  </si>
  <si>
    <t>2018-10-11</t>
  </si>
  <si>
    <t>2018-10-31</t>
  </si>
  <si>
    <t>2018-11-09</t>
  </si>
  <si>
    <t>定国土资告字[2018]014号</t>
  </si>
  <si>
    <t>已成交</t>
  </si>
  <si>
    <t>河北京格输送设备制造有限公司</t>
  </si>
  <si>
    <t>50年</t>
  </si>
  <si>
    <t>0星</t>
  </si>
  <si>
    <t>定兴县新107国道东侧、吉祥路北侧</t>
  </si>
  <si>
    <t>仓储用地</t>
  </si>
  <si>
    <t>大于或等于40</t>
  </si>
  <si>
    <t>河北顺达恒星物流有限公司</t>
  </si>
  <si>
    <t>定兴县新107国道东侧、鹏程路南侧</t>
  </si>
  <si>
    <t>2018-07-09</t>
  </si>
  <si>
    <t>2018-07-30</t>
  </si>
  <si>
    <t>2018-08-08</t>
  </si>
  <si>
    <t>定国土资告字[2018]011号</t>
  </si>
  <si>
    <t>定兴县新107国道东侧、兴达路北侧</t>
  </si>
  <si>
    <t>定兴县新107国道西侧、两合庄村东</t>
  </si>
  <si>
    <t>2018-07-03</t>
  </si>
  <si>
    <t>2018-07-23</t>
  </si>
  <si>
    <t>2018-08-01</t>
  </si>
  <si>
    <t>定国土资告字[2018]010号</t>
  </si>
  <si>
    <t>保定致腾仓储有限公司</t>
  </si>
  <si>
    <t>定兴县新107国道西侧</t>
  </si>
  <si>
    <t>流拍</t>
  </si>
  <si>
    <t>新107国道东侧、京港澳高速引线南侧</t>
  </si>
  <si>
    <t>中亦恒祥保定食品有限公司</t>
  </si>
  <si>
    <t>李郁庄乡古庄营村东、京港澳高速西侧</t>
  </si>
  <si>
    <t>大于或等于0.7</t>
  </si>
  <si>
    <t>河北倚天建筑科技有限公司</t>
  </si>
  <si>
    <t>定兴县107国道东侧、兴达路北侧</t>
  </si>
  <si>
    <t>开工中</t>
  </si>
  <si>
    <t>2018-04-11</t>
  </si>
  <si>
    <t>2018-05-05</t>
  </si>
  <si>
    <t>2018-05-14</t>
  </si>
  <si>
    <t>定国土资告字[2018]006号</t>
  </si>
  <si>
    <t>河北紫光新锐智能消防设备有限公司</t>
  </si>
  <si>
    <t>定兴县吉祥街南延、美业斯路东侧</t>
  </si>
  <si>
    <t>河北美业斯维生物技术有限公司</t>
  </si>
  <si>
    <t>新107国道东、吉祥街北侧</t>
  </si>
  <si>
    <t>定国土资告字[2018]004号</t>
  </si>
  <si>
    <t>新107国道东、京港澳高速引线北侧</t>
  </si>
  <si>
    <t>河北智同生物制药股份有限公司</t>
  </si>
  <si>
    <t>新107国道西、大沟村东</t>
  </si>
  <si>
    <t>定兴县燕都刺绣工艺品制造有限公司</t>
  </si>
  <si>
    <t>新107国道东、鹏程路北侧</t>
  </si>
  <si>
    <t>保定赛德丽自动化环保设备有限公司</t>
  </si>
  <si>
    <t>新107国道东侧、京港澳高速引线北侧</t>
  </si>
  <si>
    <t>2018-04-09</t>
  </si>
  <si>
    <t>2018-05-02</t>
  </si>
  <si>
    <t>2018-05-11</t>
  </si>
  <si>
    <t>定国土资告字[2018]003号</t>
  </si>
  <si>
    <t>河北匠工新型建筑材料有限公司</t>
  </si>
  <si>
    <t>河北德嵩生物科技有限公司</t>
  </si>
  <si>
    <t>河北闽辉食品有限公司</t>
  </si>
  <si>
    <t>定兴县鹏程路南侧、新107国道东侧</t>
  </si>
  <si>
    <t>2018016(原2017003)</t>
  </si>
  <si>
    <t>2018-03-29</t>
  </si>
  <si>
    <t>2018-04-21</t>
  </si>
  <si>
    <t>2018-05-03</t>
  </si>
  <si>
    <t>定国土资告字[2018]001号</t>
  </si>
  <si>
    <t>河北奥克家居有限公司</t>
  </si>
  <si>
    <t>定兴县中斗门村西</t>
  </si>
  <si>
    <t>小于或等于50</t>
  </si>
  <si>
    <t>保定河工科技园建设发展有限公司</t>
  </si>
  <si>
    <t>定兴县鹏程路南、规划东兴南街东侧</t>
  </si>
  <si>
    <t>航科精机河北科技有限公司</t>
  </si>
  <si>
    <t>鹏程路南侧、新107国道东侧</t>
  </si>
  <si>
    <t>河北古斯塔夫建筑材料有限公司</t>
  </si>
  <si>
    <t>定兴县金台经济开发区南部园区内</t>
  </si>
  <si>
    <t>2017-11-23</t>
  </si>
  <si>
    <t>2017-12-13</t>
  </si>
  <si>
    <t>2017-12-22</t>
  </si>
  <si>
    <t>定国土资告字[2017]004号</t>
  </si>
  <si>
    <t>保定久婵璜节能建材制造有限公司</t>
  </si>
  <si>
    <t>定国土资告字[2017]005号</t>
  </si>
  <si>
    <t>保定万驰传动系统制造有限公司</t>
  </si>
  <si>
    <t>大于或等于30并且小于或等于50</t>
  </si>
  <si>
    <t>2016-09-08</t>
  </si>
  <si>
    <t>2016-10-08</t>
  </si>
  <si>
    <t>2016-10-17</t>
  </si>
  <si>
    <t>定国土资告字[2016]007号</t>
  </si>
  <si>
    <t>保定中桥重刚结构制造有限公司</t>
  </si>
  <si>
    <t>河北微纳环保科技有限公司</t>
  </si>
  <si>
    <t>定兴县新107国道东侧、西石桥村西</t>
  </si>
  <si>
    <t>保定鑫帆汽车座椅有限公司</t>
  </si>
  <si>
    <t>定兴县老107国道东侧</t>
  </si>
  <si>
    <t>2016-08-23</t>
  </si>
  <si>
    <t>2016-09-18</t>
  </si>
  <si>
    <t>2016-09-27</t>
  </si>
  <si>
    <t>定国土资告字[2016]006号</t>
  </si>
  <si>
    <t>张金辉</t>
  </si>
  <si>
    <t>2016-05-05</t>
  </si>
  <si>
    <t>2016-06-03</t>
  </si>
  <si>
    <t>定国土资告字[2016]005号</t>
  </si>
  <si>
    <t>保定天骄房地产开发有限公司</t>
  </si>
  <si>
    <t>定兴县新107国道东侧、金台开发区</t>
  </si>
  <si>
    <t>定兴县三禾农业有限公司</t>
  </si>
  <si>
    <t>定兴县旧107国道东、兴园路南侧</t>
  </si>
  <si>
    <t>定兴县金凯利纸制品包装经销有限公司</t>
  </si>
  <si>
    <t>已完工</t>
  </si>
  <si>
    <t>2016-04-28</t>
  </si>
  <si>
    <t>2016-05-21</t>
  </si>
  <si>
    <t>2016-05-30</t>
  </si>
  <si>
    <t>2016-05-22</t>
  </si>
  <si>
    <t>定国土资告字[2016]004号</t>
  </si>
  <si>
    <t>河北铭硕机械制造有限公司</t>
  </si>
  <si>
    <t>定兴县旧107国道东、鹏程路北侧</t>
  </si>
  <si>
    <t>九第龙象</t>
  </si>
  <si>
    <t>保定华韵兴宏纸制品制造有限公司</t>
  </si>
  <si>
    <t>李郁庄乡傅家庄村</t>
  </si>
  <si>
    <t>2016-02-18</t>
  </si>
  <si>
    <t>2016-03-09</t>
  </si>
  <si>
    <t>2016-03-18</t>
  </si>
  <si>
    <t>定国土资告字[2016]003号</t>
  </si>
  <si>
    <t>保定永兴食品有限公司</t>
  </si>
  <si>
    <t>定兴县东落堡乡田侯村西</t>
  </si>
  <si>
    <t>保定恒兴食品有限公司</t>
  </si>
  <si>
    <t>定兴县大北召村北</t>
  </si>
  <si>
    <t>2015-11-23</t>
  </si>
  <si>
    <t>2015-12-13</t>
  </si>
  <si>
    <t>2015-12-22</t>
  </si>
  <si>
    <t>定国土资告字[2015]017号</t>
  </si>
  <si>
    <t>定兴县鑫坤节能燃料制造有限公司</t>
  </si>
  <si>
    <t>定兴县固城镇北店村西</t>
  </si>
  <si>
    <t>河北荣达蓄禽有限公司</t>
  </si>
  <si>
    <t>定兴县吉祥街南延东、兴园路南</t>
  </si>
  <si>
    <t>2015-11-16</t>
  </si>
  <si>
    <t>2015-12-06</t>
  </si>
  <si>
    <t>2015-12-15</t>
  </si>
  <si>
    <t>定国土资告字[2015]016号</t>
  </si>
  <si>
    <t>定兴县卓美环保材料科技有限责任公司</t>
  </si>
  <si>
    <t>保定中博华泰汽车贸易有限公司</t>
  </si>
  <si>
    <t>定兴县朝阳路南侧、吉祥街西侧</t>
  </si>
  <si>
    <t>定兴县乾程汽车配件制造有限公司</t>
  </si>
  <si>
    <t>定兴县西高里村西</t>
  </si>
  <si>
    <t>2015-08-04</t>
  </si>
  <si>
    <t>2015-08-24</t>
  </si>
  <si>
    <t>2015-09-02</t>
  </si>
  <si>
    <t>定国土资告字[2015]009号</t>
  </si>
  <si>
    <t>定兴县小仓鼠仓储服务有限公司</t>
  </si>
  <si>
    <t>定兴县杨村乡房家庄村北</t>
  </si>
  <si>
    <t>河北马大姐食品有限公司</t>
  </si>
  <si>
    <t>定兴县柳卓乡中连村南</t>
  </si>
  <si>
    <t>定兴县金台中路南侧、靶场西侧</t>
  </si>
  <si>
    <t>2015-07-28</t>
  </si>
  <si>
    <t>2015-08-17</t>
  </si>
  <si>
    <t>2015-08-26</t>
  </si>
  <si>
    <t>定国土资告字[2015]007号</t>
  </si>
  <si>
    <t>保定裕康食品科技有限公司</t>
  </si>
  <si>
    <t>定兴县工业聚集区内*新107国道东侧</t>
  </si>
  <si>
    <t>2015-06-08</t>
  </si>
  <si>
    <t>2015-07-01</t>
  </si>
  <si>
    <t>2015-07-13</t>
  </si>
  <si>
    <t>定国土资告字[2015]005号</t>
  </si>
  <si>
    <t>保定中桥重钢结构制造有限公司</t>
  </si>
  <si>
    <t>定兴县</t>
    <phoneticPr fontId="3" type="noConversion"/>
  </si>
  <si>
    <t>定兴县</t>
    <phoneticPr fontId="3" type="noConversion"/>
  </si>
  <si>
    <t>定兴县</t>
    <phoneticPr fontId="3" type="noConversion"/>
  </si>
  <si>
    <t>工业</t>
    <phoneticPr fontId="33" type="noConversion"/>
  </si>
  <si>
    <t>规则</t>
    <phoneticPr fontId="33" type="noConversion"/>
  </si>
  <si>
    <t>较规则</t>
  </si>
  <si>
    <t>较规则</t>
    <phoneticPr fontId="33" type="noConversion"/>
  </si>
  <si>
    <t>七通</t>
    <phoneticPr fontId="33" type="noConversion"/>
  </si>
  <si>
    <t>六通</t>
    <phoneticPr fontId="33" type="noConversion"/>
  </si>
  <si>
    <t>五通</t>
  </si>
  <si>
    <t>五通</t>
    <phoneticPr fontId="33" type="noConversion"/>
  </si>
  <si>
    <t>好</t>
    <phoneticPr fontId="33" type="noConversion"/>
  </si>
  <si>
    <t>较好</t>
    <phoneticPr fontId="33" type="noConversion"/>
  </si>
  <si>
    <t>五通</t>
    <phoneticPr fontId="25" type="noConversion"/>
  </si>
  <si>
    <t>全部缴纳</t>
  </si>
  <si>
    <t>已包含在土地取得成本中</t>
  </si>
  <si>
    <t>成本法</t>
  </si>
  <si>
    <t>其他</t>
    <phoneticPr fontId="3" type="noConversion"/>
  </si>
  <si>
    <t>成交地面</t>
    <phoneticPr fontId="143" type="noConversion"/>
  </si>
  <si>
    <t>单位面积地价</t>
  </si>
  <si>
    <t>押一</t>
  </si>
  <si>
    <t>项目局部</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</si>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</sst>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14" fontId="64" fillId="11" borderId="13" xfId="0" applyNumberFormat="1" applyFont="1" applyFill="1" applyBorder="1" applyAlignment="1" applyProtection="1">
      <alignment horizontal="left" vertical="center"/>
      <protection locked="0"/>
    </xf>
    <xf numFmtId="14" fontId="64" fillId="11" borderId="78" xfId="0" applyNumberFormat="1" applyFont="1" applyFill="1" applyBorder="1" applyAlignment="1" applyProtection="1">
      <alignment horizontal="center" vertical="center"/>
      <protection locked="0"/>
    </xf>
    <xf numFmtId="0" fontId="190" fillId="7" borderId="151" xfId="0" applyFont="1" applyFill="1" applyBorder="1" applyAlignment="1" applyProtection="1">
      <alignment vertical="center" wrapText="1"/>
      <protection locked="0"/>
    </xf>
    <xf numFmtId="0" fontId="64" fillId="11"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50" fillId="6" borderId="0" xfId="0" applyFont="1" applyFill="1" applyAlignment="1" applyProtection="1">
      <alignment horizontal="left" vertical="center"/>
      <protection locked="0"/>
    </xf>
    <xf numFmtId="0" fontId="80" fillId="6" borderId="0" xfId="0" applyFont="1" applyFill="1" applyAlignment="1" applyProtection="1">
      <alignment horizontal="left" vertical="center"/>
      <protection locked="0"/>
    </xf>
    <xf numFmtId="9" fontId="50" fillId="6" borderId="0" xfId="0" applyNumberFormat="1" applyFont="1" applyFill="1" applyAlignment="1" applyProtection="1">
      <alignment horizontal="left" vertical="center"/>
      <protection locked="0"/>
    </xf>
    <xf numFmtId="176" fontId="50" fillId="6" borderId="0" xfId="0" applyNumberFormat="1" applyFont="1" applyFill="1" applyAlignment="1" applyProtection="1">
      <alignment horizontal="left" vertical="center"/>
      <protection locked="0"/>
    </xf>
    <xf numFmtId="9" fontId="50" fillId="6" borderId="0" xfId="17" applyFont="1" applyFill="1" applyAlignment="1" applyProtection="1">
      <alignment vertical="center"/>
      <protection locked="0"/>
    </xf>
    <xf numFmtId="0" fontId="56" fillId="11" borderId="10" xfId="1" applyNumberFormat="1" applyFont="1" applyFill="1" applyBorder="1" applyAlignment="1" applyProtection="1">
      <alignment horizontal="center" vertical="center"/>
      <protection locked="0"/>
    </xf>
    <xf numFmtId="0" fontId="56" fillId="11" borderId="24" xfId="1" applyNumberFormat="1"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99" fillId="0" borderId="0" xfId="0" applyFont="1">
      <alignment vertical="center"/>
    </xf>
    <xf numFmtId="0" fontId="101" fillId="0" borderId="0" xfId="0" applyFont="1" applyAlignment="1"/>
    <xf numFmtId="0" fontId="0" fillId="11" borderId="0" xfId="0"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9" fillId="0" borderId="0" xfId="0" applyFont="1" applyAlignment="1"/>
    <xf numFmtId="0" fontId="171" fillId="6" borderId="13" xfId="12"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445;&#23450;&#36890;&#32654;&#26230;&#20307;-75.38&#20137;&#37096;&#20998;&#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0445;&#23450;&#36890;&#32654;&#26230;&#20307;-36.08&#20137;&#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17189.189999999999</v>
          </cell>
          <cell r="C14">
            <v>24556.25</v>
          </cell>
          <cell r="D14">
            <v>1022</v>
          </cell>
          <cell r="G14">
            <v>1022</v>
          </cell>
          <cell r="H14" t="str">
            <v>——</v>
          </cell>
          <cell r="I14" t="str">
            <v>——</v>
          </cell>
        </row>
      </sheetData>
      <sheetData sheetId="17"/>
      <sheetData sheetId="18">
        <row r="11">
          <cell r="K11">
            <v>10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24055</v>
          </cell>
          <cell r="C14">
            <v>24055</v>
          </cell>
          <cell r="D14">
            <v>1322</v>
          </cell>
          <cell r="G14">
            <v>1322</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河北省保定市定兴县新107国道东侧房地产抵押价值预评估</v>
      </c>
    </row>
    <row r="3" spans="1:2" s="1595" customFormat="1">
      <c r="A3" s="1593" t="s">
        <v>1217</v>
      </c>
      <c r="B3" s="1594" t="str">
        <f>'预评函-封皮'!B40</f>
        <v>保定通美晶体制造有限责任公司</v>
      </c>
    </row>
    <row r="4" spans="1:2" s="1595" customFormat="1">
      <c r="A4" s="1593" t="s">
        <v>1218</v>
      </c>
      <c r="B4" s="1594" t="str">
        <f ca="1">'预评函-封皮'!B46</f>
        <v>郑燚（注册号：1120070131)、崔锴（注册号：1120100036)</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受贵公司委托，我公司对河北省保定市定兴县新107国道东侧房地产抵押价值进行了预评估。</v>
      </c>
    </row>
    <row r="7" spans="1:2" s="1595" customFormat="1">
      <c r="A7" s="1593" t="s">
        <v>1260</v>
      </c>
      <c r="B7" s="1594" t="str">
        <f>'预评函-1'!A7</f>
        <v>估价对象为河北省保定市定兴县新107国道东侧房地产，为所有。根据《国有土地使用证》[]，估价对象（分摊）出让国有建设用地使用权面积为25697.15平方米。根据《房屋所有权证》[]、《测绘报告》[]，估价对象建筑面积为17987.81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河北省保定市定兴县新107国道东侧房地产,属开发建设的工业项目，该项目尚在开发建设中。根据《国有土地使用证》[]，估价对象（分摊）出让国有建设用地使用权面积为25697.15平方米。根据《房屋所有权证》[]、《测绘报告》[]，估价对象规划建筑面积为17987.81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为估价委托人在向办理贷款手续过程中，确定房地产抵押贷款额度提供参考依据而评估房地产抵押价值。</v>
      </c>
    </row>
    <row r="12" spans="1:2" s="1595" customFormat="1">
      <c r="A12" s="1593" t="s">
        <v>1222</v>
      </c>
      <c r="B12" s="1594" t="str">
        <f>'预评函-1'!A15</f>
        <v>2019年1月22日（评估专业人员实地查勘之日）</v>
      </c>
    </row>
    <row r="13" spans="1:2" s="1595" customFormat="1">
      <c r="A13" s="1593" t="s">
        <v>1223</v>
      </c>
      <c r="B13" s="1594" t="str">
        <f>'预评函-1'!A18</f>
        <v>本次估价的“房地产价值”是指在正常市场情况下，在价值时点2019年1月22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5336</v>
      </c>
    </row>
    <row r="21" spans="1:2" s="1595" customFormat="1">
      <c r="A21" s="1593" t="s">
        <v>1231</v>
      </c>
      <c r="B21" s="1594">
        <f ca="1">'预评函-2'!D7</f>
        <v>2966</v>
      </c>
    </row>
    <row r="22" spans="1:2" s="1595" customFormat="1">
      <c r="A22" s="1593" t="s">
        <v>1232</v>
      </c>
      <c r="B22" s="1594" t="str">
        <f ca="1">'预评函-2'!D6</f>
        <v>伍仟叁佰叁拾陆万元整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5336</v>
      </c>
    </row>
    <row r="31" spans="1:2" s="1595" customFormat="1">
      <c r="A31" s="1593" t="s">
        <v>1270</v>
      </c>
      <c r="B31" s="1594">
        <f ca="1">'预评函-2'!D15</f>
        <v>2966</v>
      </c>
    </row>
    <row r="32" spans="1:2" s="1595" customFormat="1">
      <c r="A32" s="1593" t="s">
        <v>1237</v>
      </c>
      <c r="B32" s="1594" t="str">
        <f ca="1">'预评函-2'!D14</f>
        <v>伍仟叁佰叁拾陆万元整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河北省保定市定兴县新107国道东侧房地产</v>
      </c>
    </row>
    <row r="42" spans="1:2" s="1595" customFormat="1">
      <c r="A42" s="1593" t="s">
        <v>1284</v>
      </c>
      <c r="B42" s="1594" t="str">
        <f>'预评函-3'!B2</f>
        <v>建筑面积</v>
      </c>
    </row>
    <row r="43" spans="1:2" s="1595" customFormat="1">
      <c r="A43" s="1593" t="s">
        <v>1285</v>
      </c>
      <c r="B43" s="1594">
        <f>'预评函-3'!B4</f>
        <v>17987.810000000001</v>
      </c>
    </row>
    <row r="44" spans="1:2" s="1595" customFormat="1">
      <c r="A44" s="1593" t="s">
        <v>1269</v>
      </c>
      <c r="B44" s="1594" t="str">
        <f>'预评函-3'!C2</f>
        <v>(分摊)土地面积</v>
      </c>
    </row>
    <row r="45" spans="1:2" s="1595" customFormat="1">
      <c r="A45" s="1593" t="s">
        <v>1241</v>
      </c>
      <c r="B45" s="1594">
        <f>'预评函-3'!C4</f>
        <v>25697.15</v>
      </c>
    </row>
    <row r="46" spans="1:2" s="1595" customFormat="1">
      <c r="A46" s="1593" t="s">
        <v>1267</v>
      </c>
      <c r="B46" s="1594" t="str">
        <f>'预评函-3'!D2</f>
        <v>出让国有建设用地使用权价值</v>
      </c>
    </row>
    <row r="47" spans="1:2" s="1595" customFormat="1">
      <c r="A47" s="1593" t="s">
        <v>1242</v>
      </c>
      <c r="B47" s="1594">
        <f ca="1">'预评函-3'!D4</f>
        <v>1371</v>
      </c>
    </row>
    <row r="48" spans="1:2" s="1595" customFormat="1">
      <c r="A48" s="1593" t="s">
        <v>1243</v>
      </c>
      <c r="B48" s="1594">
        <f ca="1">'预评函-3'!E4</f>
        <v>762</v>
      </c>
    </row>
    <row r="49" spans="1:2" s="1595" customFormat="1">
      <c r="A49" s="1593" t="s">
        <v>1244</v>
      </c>
      <c r="B49" s="1594" t="str">
        <f ca="1">'预评函-3'!D5</f>
        <v>壹仟叁佰柒拾壹万元整</v>
      </c>
    </row>
    <row r="50" spans="1:2" s="1595" customFormat="1">
      <c r="A50" s="1593" t="s">
        <v>1268</v>
      </c>
      <c r="B50" s="1594" t="str">
        <f>'预评函-3'!F2</f>
        <v>在建建筑物价值</v>
      </c>
    </row>
    <row r="51" spans="1:2" s="1595" customFormat="1">
      <c r="A51" s="1593" t="s">
        <v>1245</v>
      </c>
      <c r="B51" s="1594">
        <f ca="1">'预评函-3'!F4</f>
        <v>3965</v>
      </c>
    </row>
    <row r="52" spans="1:2" s="1595" customFormat="1">
      <c r="A52" s="1593" t="s">
        <v>1246</v>
      </c>
      <c r="B52" s="1594">
        <f ca="1">'预评函-3'!G4</f>
        <v>2204</v>
      </c>
    </row>
    <row r="53" spans="1:2" s="1595" customFormat="1">
      <c r="A53" s="1593" t="s">
        <v>1274</v>
      </c>
      <c r="B53" s="1594" t="str">
        <f ca="1">'预评函-3'!F5</f>
        <v>叁仟玖佰陆拾伍万元整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（1）根据估价对象《不动产权证书》复印件、，截至价值时点，估价对象抵押权未见登记。</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郑燚</v>
      </c>
    </row>
    <row r="71" spans="1:2">
      <c r="A71" s="1593" t="s">
        <v>1257</v>
      </c>
      <c r="B71" s="1594">
        <f ca="1">'预评函-4'!B4</f>
        <v>1120070131</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A28" sqref="A28"/>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3070</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保定通美晶体制造有限责任公司拟使用河北省保定市定兴县新107国道东侧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14"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24" t="s">
        <v>861</v>
      </c>
      <c r="C54" s="2021" t="s">
        <v>1277</v>
      </c>
    </row>
    <row r="55" spans="1:4">
      <c r="A55" s="3014"/>
      <c r="B55" s="2024" t="s">
        <v>862</v>
      </c>
      <c r="C55" s="2021" t="s">
        <v>1278</v>
      </c>
    </row>
    <row r="56" spans="1:4">
      <c r="A56" s="3014"/>
      <c r="B56" s="2024" t="s">
        <v>863</v>
      </c>
      <c r="C56" s="2021" t="s">
        <v>1282</v>
      </c>
    </row>
    <row r="57" spans="1:4">
      <c r="A57" s="3014"/>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F34" sqref="F3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1772</v>
      </c>
      <c r="B1" s="3023" t="str">
        <f>IF(B10="北京市","北京市",C10)&amp;F10&amp;IF(结果表!G1="在建","出让国有建设用地使用权及在建建筑物",IF(结果表!G1="土地","出让国有建设用地使用权",))&amp;B9&amp;"预评估"</f>
        <v>河北省保定市定兴县新107国道东侧房地产抵押价值预评估</v>
      </c>
      <c r="C1" s="3024"/>
      <c r="D1" s="3024"/>
      <c r="E1" s="3024"/>
      <c r="F1" s="3024"/>
      <c r="G1" s="3024"/>
      <c r="H1" s="3024"/>
      <c r="I1" s="302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河北省保定市定兴县新107国道东侧房地产抵押价值</v>
      </c>
    </row>
    <row r="2" spans="1:19" ht="18" customHeight="1">
      <c r="A2" s="2028" t="s">
        <v>1773</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河北省保定市定兴县新107国道东侧房地产</v>
      </c>
    </row>
    <row r="3" spans="1:19" ht="18" customHeight="1">
      <c r="A3" s="2037" t="s">
        <v>1774</v>
      </c>
      <c r="B3" s="2945">
        <v>43487</v>
      </c>
      <c r="C3" s="2039" t="s">
        <v>1775</v>
      </c>
      <c r="D3" s="2038">
        <f>B3</f>
        <v>43487</v>
      </c>
      <c r="E3" s="2028"/>
      <c r="F3" s="2028"/>
      <c r="G3" s="2028"/>
      <c r="H3" s="2028"/>
      <c r="I3" s="2028"/>
      <c r="J3" s="2028"/>
      <c r="K3" s="2029"/>
      <c r="L3" s="2030"/>
      <c r="M3" s="2030"/>
      <c r="N3" s="2031"/>
      <c r="O3" s="2032"/>
      <c r="P3" s="2031"/>
      <c r="Q3" s="2031"/>
      <c r="R3" s="2031"/>
      <c r="S3" s="2033"/>
    </row>
    <row r="4" spans="1:19" ht="18" customHeight="1" thickBot="1">
      <c r="A4" s="2040" t="s">
        <v>1776</v>
      </c>
      <c r="B4" s="2946" t="s">
        <v>3045</v>
      </c>
      <c r="C4" s="1039">
        <f ca="1">SUMIF(注册房地产估价师,B4,估价师及机构信息!B3:B24)</f>
        <v>1120070131</v>
      </c>
      <c r="D4" s="2041" t="s">
        <v>3046</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郑燚（注册号：1120070131)、崔锴（注册号：1120100036)</v>
      </c>
      <c r="L4" s="2030"/>
      <c r="M4" s="2030"/>
      <c r="N4" s="2031"/>
      <c r="O4" s="2032"/>
      <c r="P4" s="2031"/>
      <c r="Q4" s="2031"/>
      <c r="R4" s="2031"/>
      <c r="S4" s="2033"/>
    </row>
    <row r="5" spans="1:19" ht="18" customHeight="1" thickTop="1">
      <c r="A5" s="2046" t="s">
        <v>1777</v>
      </c>
      <c r="B5" s="2947" t="s">
        <v>3048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1778</v>
      </c>
      <c r="B6" s="2948"/>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1779</v>
      </c>
      <c r="B7" s="2053" t="str">
        <f>B5</f>
        <v>保定通美晶体制造有限责任公司</v>
      </c>
      <c r="C7" s="2050"/>
      <c r="D7" s="2051"/>
      <c r="E7" s="2036"/>
      <c r="F7" s="2044"/>
      <c r="G7" s="2044"/>
      <c r="H7" s="2044"/>
      <c r="I7" s="2044"/>
      <c r="J7" s="2044"/>
      <c r="K7" s="2054"/>
      <c r="L7" s="2030"/>
      <c r="M7" s="2030"/>
      <c r="N7" s="2031"/>
      <c r="O7" s="2032"/>
      <c r="P7" s="2031"/>
      <c r="Q7" s="2031"/>
      <c r="R7" s="2031"/>
    </row>
    <row r="8" spans="1:19" ht="18" customHeight="1">
      <c r="A8" s="2049" t="s">
        <v>1780</v>
      </c>
      <c r="B8" s="2055" t="s">
        <v>3049</v>
      </c>
      <c r="C8" s="2056"/>
      <c r="D8" s="3026" t="s">
        <v>1781</v>
      </c>
      <c r="E8" s="2057" t="s">
        <v>3050</v>
      </c>
      <c r="F8" s="2058"/>
      <c r="G8" s="2028"/>
      <c r="H8" s="2028"/>
      <c r="I8" s="2028"/>
      <c r="J8" s="2044"/>
      <c r="K8" s="2045"/>
      <c r="L8" s="2030"/>
      <c r="M8" s="2030"/>
      <c r="N8" s="2031"/>
      <c r="O8" s="2032"/>
      <c r="P8" s="2031"/>
      <c r="Q8" s="2031"/>
      <c r="R8" s="2031"/>
    </row>
    <row r="9" spans="1:19" ht="18" customHeight="1" thickBot="1">
      <c r="A9" s="2042" t="s">
        <v>1782</v>
      </c>
      <c r="B9" s="2059" t="s">
        <v>3050</v>
      </c>
      <c r="C9" s="2060"/>
      <c r="D9" s="3027"/>
      <c r="E9" s="2059" t="s">
        <v>70</v>
      </c>
      <c r="F9" s="2061"/>
      <c r="G9" s="2062"/>
      <c r="H9" s="2062"/>
      <c r="I9" s="2062"/>
      <c r="J9" s="2044"/>
      <c r="K9" s="2054"/>
      <c r="L9" s="2030"/>
      <c r="M9" s="2030"/>
      <c r="N9" s="2031"/>
      <c r="O9" s="2032"/>
      <c r="P9" s="2031"/>
      <c r="Q9" s="2031"/>
      <c r="R9" s="2031"/>
    </row>
    <row r="10" spans="1:19" ht="18" customHeight="1" thickTop="1">
      <c r="A10" s="2063" t="s">
        <v>1783</v>
      </c>
      <c r="B10" s="2064" t="s">
        <v>3051</v>
      </c>
      <c r="C10" s="2949" t="s">
        <v>3052</v>
      </c>
      <c r="D10" s="2048"/>
      <c r="E10" s="2065" t="s">
        <v>1784</v>
      </c>
      <c r="F10" s="2066" t="s">
        <v>3053</v>
      </c>
      <c r="G10" s="2067"/>
      <c r="H10" s="2068"/>
      <c r="I10" s="2048"/>
      <c r="J10" s="2044"/>
      <c r="K10" s="2054"/>
      <c r="L10" s="2030"/>
      <c r="M10" s="2030"/>
      <c r="N10" s="2031"/>
      <c r="O10" s="2032"/>
      <c r="P10" s="2031"/>
      <c r="Q10" s="2031"/>
      <c r="R10" s="2031"/>
    </row>
    <row r="11" spans="1:19" ht="18" customHeight="1">
      <c r="A11" s="2069" t="s">
        <v>1785</v>
      </c>
      <c r="B11" s="2070" t="s">
        <v>3054</v>
      </c>
      <c r="C11" s="2071"/>
      <c r="D11" s="2072"/>
      <c r="E11" s="2044"/>
      <c r="F11" s="2044"/>
      <c r="G11" s="2044"/>
      <c r="H11" s="2044"/>
      <c r="I11" s="2044"/>
      <c r="J11" s="2044"/>
      <c r="K11" s="2054"/>
      <c r="L11" s="2030"/>
      <c r="M11" s="2030"/>
      <c r="N11" s="2031"/>
      <c r="O11" s="2032"/>
      <c r="P11" s="2031"/>
      <c r="Q11" s="2031"/>
      <c r="R11" s="2031"/>
    </row>
    <row r="12" spans="1:19" ht="18" customHeight="1">
      <c r="A12" s="2073" t="s">
        <v>1786</v>
      </c>
      <c r="B12" s="2070" t="s">
        <v>3055</v>
      </c>
      <c r="C12" s="2074" t="s">
        <v>1787</v>
      </c>
      <c r="D12" s="2075" t="s">
        <v>1788</v>
      </c>
      <c r="E12" s="2075" t="s">
        <v>1789</v>
      </c>
      <c r="F12" s="2075" t="s">
        <v>1790</v>
      </c>
      <c r="G12" s="2075" t="s">
        <v>1791</v>
      </c>
      <c r="H12" s="2075" t="s">
        <v>1792</v>
      </c>
      <c r="I12" s="2075" t="s">
        <v>1793</v>
      </c>
      <c r="J12" s="2044"/>
      <c r="K12" s="2054"/>
      <c r="L12" s="2030"/>
      <c r="M12" s="2030"/>
      <c r="N12" s="2031"/>
      <c r="O12" s="2032"/>
      <c r="P12" s="2031"/>
      <c r="Q12" s="2031"/>
      <c r="R12" s="2031"/>
    </row>
    <row r="13" spans="1:19" ht="18" customHeight="1">
      <c r="A13" s="2076"/>
      <c r="B13" s="2077"/>
      <c r="C13" s="2078" t="s">
        <v>1794</v>
      </c>
      <c r="D13" s="2079"/>
      <c r="E13" s="2079"/>
      <c r="F13" s="2079"/>
      <c r="G13" s="2079"/>
      <c r="H13" s="2079"/>
      <c r="I13" s="1049">
        <v>60814</v>
      </c>
      <c r="J13" s="2044"/>
      <c r="K13" s="2054"/>
      <c r="L13" s="2030"/>
      <c r="M13" s="2030"/>
      <c r="N13" s="2031"/>
      <c r="O13" s="2032"/>
      <c r="P13" s="2031"/>
      <c r="Q13" s="2031"/>
      <c r="R13" s="2031"/>
    </row>
    <row r="14" spans="1:19" ht="18" customHeight="1">
      <c r="A14" s="2076"/>
      <c r="B14" s="2077"/>
      <c r="C14" s="2078" t="s">
        <v>1795</v>
      </c>
      <c r="D14" s="1052"/>
      <c r="E14" s="1052"/>
      <c r="F14" s="1052"/>
      <c r="G14" s="1052"/>
      <c r="H14" s="1052"/>
      <c r="I14" s="1052">
        <v>50</v>
      </c>
      <c r="J14" s="2044"/>
      <c r="K14" s="2080"/>
      <c r="L14" s="2030"/>
      <c r="M14" s="2030"/>
      <c r="N14" s="2031"/>
      <c r="O14" s="2032"/>
      <c r="P14" s="2031"/>
      <c r="Q14" s="2031"/>
      <c r="R14" s="2031"/>
    </row>
    <row r="15" spans="1:19" ht="18" customHeight="1">
      <c r="A15" s="2063"/>
      <c r="B15" s="2081"/>
      <c r="C15" s="2078" t="s">
        <v>1796</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47.47</v>
      </c>
      <c r="J15" s="2044"/>
      <c r="K15" s="2082"/>
      <c r="L15" s="2083"/>
      <c r="M15" s="2083"/>
      <c r="N15" s="2084"/>
      <c r="O15" s="2083"/>
      <c r="P15" s="2084"/>
      <c r="Q15" s="2031"/>
      <c r="R15" s="2031"/>
    </row>
    <row r="16" spans="1:19" ht="30.75" customHeight="1">
      <c r="A16" s="2065" t="s">
        <v>1797</v>
      </c>
      <c r="B16" s="3033"/>
      <c r="C16" s="3034"/>
      <c r="D16" s="3035"/>
      <c r="E16" s="2085" t="s">
        <v>1798</v>
      </c>
      <c r="F16" s="3036"/>
      <c r="G16" s="3037"/>
      <c r="H16" s="3037"/>
      <c r="I16" s="3038"/>
      <c r="J16" s="2031"/>
      <c r="K16" s="2082"/>
      <c r="L16" s="2083"/>
      <c r="M16" s="2083"/>
      <c r="N16" s="2084"/>
      <c r="O16" s="2083"/>
      <c r="P16" s="2084"/>
      <c r="Q16" s="2031"/>
      <c r="R16" s="2031"/>
    </row>
    <row r="17" spans="1:22" ht="18" customHeight="1">
      <c r="A17" s="2086" t="s">
        <v>1799</v>
      </c>
      <c r="B17" s="2037" t="s">
        <v>1800</v>
      </c>
      <c r="C17" s="1056">
        <f>'数据-汇总表'!E3</f>
        <v>17987.810000000001</v>
      </c>
      <c r="D17" s="2087" t="s">
        <v>1801</v>
      </c>
      <c r="E17" s="3039" t="s">
        <v>1802</v>
      </c>
      <c r="F17" s="3040"/>
      <c r="G17" s="3040"/>
      <c r="H17" s="3040"/>
      <c r="I17" s="3041"/>
      <c r="J17" s="2031"/>
      <c r="K17" s="2088"/>
      <c r="L17" s="2083"/>
      <c r="M17" s="2083"/>
      <c r="N17" s="2084"/>
      <c r="O17" s="2083"/>
      <c r="P17" s="2084"/>
      <c r="Q17" s="2031"/>
      <c r="R17" s="2031"/>
      <c r="S17" s="2031"/>
      <c r="T17" s="2031"/>
      <c r="U17" s="2031"/>
      <c r="V17" s="2031"/>
    </row>
    <row r="18" spans="1:22" ht="36" customHeight="1" thickBot="1">
      <c r="A18" s="2089" t="s">
        <v>70</v>
      </c>
      <c r="B18" s="2040" t="s">
        <v>1803</v>
      </c>
      <c r="C18" s="1446">
        <f>'数据-汇总表'!D3</f>
        <v>25697.15</v>
      </c>
      <c r="D18" s="2090" t="s">
        <v>1801</v>
      </c>
      <c r="E18" s="3042" t="s">
        <v>1804</v>
      </c>
      <c r="F18" s="3043"/>
      <c r="G18" s="3043"/>
      <c r="H18" s="3043"/>
      <c r="I18" s="3044"/>
      <c r="J18" s="2031"/>
      <c r="K18" s="2088"/>
      <c r="L18" s="2083"/>
      <c r="M18" s="2083"/>
      <c r="N18" s="2084"/>
      <c r="O18" s="2083"/>
      <c r="P18" s="2084"/>
      <c r="Q18" s="2031"/>
      <c r="R18" s="2031"/>
      <c r="S18" s="2031"/>
      <c r="T18" s="2031"/>
      <c r="U18" s="2031"/>
      <c r="V18" s="2031"/>
    </row>
    <row r="19" spans="1:22" ht="37.5" customHeight="1" thickTop="1" thickBot="1">
      <c r="A19" s="372" t="s">
        <v>1805</v>
      </c>
      <c r="B19" s="351" t="s">
        <v>1806</v>
      </c>
      <c r="C19" s="2091" t="s">
        <v>3056</v>
      </c>
      <c r="D19" s="2092" t="s">
        <v>1807</v>
      </c>
      <c r="E19" s="2093" t="s">
        <v>70</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1808</v>
      </c>
      <c r="B20" s="3029" t="s">
        <v>1809</v>
      </c>
      <c r="C20" s="3030"/>
      <c r="D20" s="3031" t="s">
        <v>1810</v>
      </c>
      <c r="E20" s="3032"/>
      <c r="F20" s="2097" t="s">
        <v>1811</v>
      </c>
      <c r="G20" s="2044"/>
      <c r="H20" s="2044"/>
      <c r="I20" s="2044"/>
      <c r="J20" s="2044"/>
      <c r="K20" s="3028" t="s">
        <v>1812</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30"/>
      <c r="N20" s="2084"/>
      <c r="O20" s="2083"/>
      <c r="P20" s="2084"/>
      <c r="Q20" s="2031"/>
      <c r="R20" s="2031"/>
      <c r="S20" s="2031"/>
      <c r="T20" s="2031"/>
      <c r="U20" s="2031"/>
      <c r="V20" s="2031"/>
    </row>
    <row r="21" spans="1:22" ht="24.75" customHeight="1">
      <c r="A21" s="2096"/>
      <c r="B21" s="2098" t="s">
        <v>3057</v>
      </c>
      <c r="C21" s="2099" t="s">
        <v>3058</v>
      </c>
      <c r="D21" s="2100"/>
      <c r="E21" s="2101"/>
      <c r="F21" s="2102"/>
      <c r="G21" s="2044"/>
      <c r="H21" s="2044"/>
      <c r="I21" s="2044"/>
      <c r="J21" s="2044"/>
      <c r="K21" s="302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4"/>
      <c r="O21" s="2083"/>
      <c r="P21" s="2084"/>
      <c r="Q21" s="2031"/>
      <c r="R21" s="2031"/>
      <c r="S21" s="2031"/>
      <c r="T21" s="2031"/>
      <c r="U21" s="2031"/>
      <c r="V21" s="2031"/>
    </row>
    <row r="22" spans="1:22" ht="24.75" customHeight="1" thickBot="1">
      <c r="A22" s="2096"/>
      <c r="B22" s="2103"/>
      <c r="C22" s="2099"/>
      <c r="D22" s="2028"/>
      <c r="E22" s="2028"/>
      <c r="F22" s="2104"/>
      <c r="G22" s="2044"/>
      <c r="H22" s="2044"/>
      <c r="I22" s="2044"/>
      <c r="J22" s="2044"/>
      <c r="K22" s="302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1813</v>
      </c>
      <c r="B23" s="182" t="s">
        <v>1814</v>
      </c>
      <c r="C23" s="2106"/>
      <c r="D23" s="2107" t="s">
        <v>1814</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2" t="s">
        <v>1815</v>
      </c>
      <c r="C24" s="2111"/>
      <c r="D24" s="2105" t="s">
        <v>1815</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2" t="s">
        <v>1816</v>
      </c>
      <c r="C25" s="2111"/>
      <c r="D25" s="2105" t="s">
        <v>1816</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1817</v>
      </c>
      <c r="C26" s="2115"/>
      <c r="D26" s="2116" t="s">
        <v>1818</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16" t="s">
        <v>1819</v>
      </c>
      <c r="B27" s="2063" t="s">
        <v>1820</v>
      </c>
      <c r="C27" s="2119" t="s">
        <v>3059</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16"/>
      <c r="B28" s="2037" t="s">
        <v>1821</v>
      </c>
      <c r="C28" s="2121" t="s">
        <v>3060</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16"/>
      <c r="B29" s="2037" t="s">
        <v>1822</v>
      </c>
      <c r="C29" s="2124" t="s">
        <v>3056</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17"/>
      <c r="B30" s="2037" t="s">
        <v>1823</v>
      </c>
      <c r="C30" s="3018"/>
      <c r="D30" s="3019"/>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20" t="s">
        <v>1824</v>
      </c>
      <c r="B31" s="2126" t="s">
        <v>3061</v>
      </c>
      <c r="C31" s="2127" t="str">
        <f>IF(B31="现房","成新及维护状况正常否",IF(B31="在建","工程状态是否正常",IF(B31="土地","是否闲置","-")))</f>
        <v>成新及维护状况正常否</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21"/>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21"/>
      <c r="B33" s="2130"/>
      <c r="C33" s="2069"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1825</v>
      </c>
      <c r="B34" s="2133" t="s">
        <v>3062</v>
      </c>
      <c r="C34" s="2133" t="s">
        <v>3063</v>
      </c>
      <c r="D34" s="2133" t="s">
        <v>3064</v>
      </c>
      <c r="E34" s="2133" t="s">
        <v>3065</v>
      </c>
      <c r="F34" s="2133" t="s">
        <v>3066</v>
      </c>
      <c r="G34" s="2133"/>
      <c r="H34" s="2133"/>
      <c r="I34" s="2044"/>
      <c r="J34" s="2044"/>
      <c r="K34" s="1797">
        <f>COUNTIF(B34:H34,"——")</f>
        <v>0</v>
      </c>
      <c r="L34" s="2074" t="s">
        <v>1826</v>
      </c>
      <c r="M34" s="2074" t="s">
        <v>1827</v>
      </c>
      <c r="N34" s="2074" t="s">
        <v>1828</v>
      </c>
      <c r="O34" s="2074" t="s">
        <v>1829</v>
      </c>
      <c r="P34" s="2074" t="s">
        <v>1830</v>
      </c>
      <c r="Q34" s="2074" t="s">
        <v>1831</v>
      </c>
      <c r="R34" s="2074" t="s">
        <v>1832</v>
      </c>
      <c r="S34" s="3015" t="s">
        <v>1833</v>
      </c>
      <c r="T34" s="2134" t="str">
        <f>NUMBERSTRING(7-K34,1)&amp;"通"</f>
        <v>七通</v>
      </c>
      <c r="U34" s="2031"/>
      <c r="V34" s="2031"/>
    </row>
    <row r="35" spans="1:22" ht="18" customHeight="1">
      <c r="A35" s="2135"/>
      <c r="B35" s="3022" t="s">
        <v>1834</v>
      </c>
      <c r="C35" s="3022"/>
      <c r="D35" s="3022"/>
      <c r="E35" s="3022"/>
      <c r="F35" s="2136" t="str">
        <f>C10</f>
        <v>河北省保定市</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5"/>
      <c r="T35" s="48" t="str">
        <f>IF(T34="一通",L35,IF(T34="二通",M35,IF(T34="三通",N35,IF(T34="四通",O35,IF(T34="五通",P35,IF(T34="六通",Q35,R35))))))</f>
        <v>通路、通电、通讯、通上水、通下水、、</v>
      </c>
      <c r="U35" s="2031"/>
      <c r="V35" s="2031"/>
    </row>
    <row r="36" spans="1:22" ht="18" customHeight="1">
      <c r="A36" s="2137"/>
      <c r="B36" s="2136" t="s">
        <v>1835</v>
      </c>
      <c r="C36" s="2136" t="s">
        <v>1836</v>
      </c>
      <c r="D36" s="2136" t="s">
        <v>1837</v>
      </c>
      <c r="E36" s="2136" t="s">
        <v>1838</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1839</v>
      </c>
      <c r="B37" s="2140"/>
      <c r="C37" s="2140"/>
      <c r="D37" s="2140"/>
      <c r="E37" s="2140"/>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1840</v>
      </c>
      <c r="B38" s="2142"/>
      <c r="C38" s="2142"/>
      <c r="D38" s="2142"/>
      <c r="E38" s="2142"/>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5"/>
      <c r="L40" s="2083"/>
      <c r="M40" s="2083"/>
      <c r="N40" s="2084"/>
      <c r="O40" s="2083"/>
      <c r="P40" s="2031"/>
      <c r="Q40" s="2031"/>
      <c r="R40" s="2031"/>
      <c r="S40" s="2031"/>
      <c r="T40" s="2031"/>
      <c r="U40" s="2031"/>
      <c r="V40" s="2031"/>
    </row>
    <row r="41" spans="1:22" ht="18" customHeight="1">
      <c r="A41" s="8" t="s">
        <v>1842</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1843</v>
      </c>
      <c r="B42" s="1797" t="s">
        <v>1844</v>
      </c>
      <c r="C42" s="1797" t="s">
        <v>1845</v>
      </c>
      <c r="D42" s="1797" t="s">
        <v>1846</v>
      </c>
      <c r="E42" s="1797" t="s">
        <v>1847</v>
      </c>
      <c r="F42" s="1797" t="s">
        <v>1848</v>
      </c>
      <c r="G42" s="1797" t="s">
        <v>1849</v>
      </c>
      <c r="H42" s="1797" t="s">
        <v>1850</v>
      </c>
      <c r="I42" s="1797" t="s">
        <v>1851</v>
      </c>
      <c r="J42" s="2152" t="s">
        <v>1852</v>
      </c>
      <c r="K42" s="2075" t="s">
        <v>1853</v>
      </c>
      <c r="L42" s="2075" t="s">
        <v>1854</v>
      </c>
      <c r="M42" s="2075" t="s">
        <v>1855</v>
      </c>
      <c r="N42" s="1797" t="s">
        <v>1856</v>
      </c>
      <c r="O42" s="1797" t="s">
        <v>1857</v>
      </c>
      <c r="P42" s="1797" t="s">
        <v>1858</v>
      </c>
      <c r="Q42" s="2074" t="s">
        <v>1859</v>
      </c>
      <c r="R42" s="2074" t="s">
        <v>1860</v>
      </c>
      <c r="S42" s="2031"/>
      <c r="T42" s="2031"/>
      <c r="U42" s="2031"/>
      <c r="V42" s="2031"/>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1862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1863</v>
      </c>
      <c r="B2" s="11" t="s">
        <v>1864</v>
      </c>
      <c r="C2" s="11" t="s">
        <v>1865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1866</v>
      </c>
      <c r="AZ2" s="1272" t="s">
        <v>1867</v>
      </c>
      <c r="BA2" s="11" t="s">
        <v>1868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50253.4</v>
      </c>
      <c r="B3" s="14">
        <f>IF(C3="否",G5-AT5,G5)</f>
        <v>35177</v>
      </c>
      <c r="C3" s="2168" t="s">
        <v>3067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1869</v>
      </c>
      <c r="B5" s="1805"/>
      <c r="C5" s="1805"/>
      <c r="D5" s="1808"/>
      <c r="E5" s="16" t="s">
        <v>1</v>
      </c>
      <c r="F5" s="16">
        <f>SUM(F13:F587)</f>
        <v>0</v>
      </c>
      <c r="G5" s="16">
        <f>SUM(G13:G587)</f>
        <v>35177</v>
      </c>
      <c r="H5" s="16">
        <f t="shared" ref="H5:AT5" si="0">SUM(H13:H656)</f>
        <v>35177</v>
      </c>
      <c r="I5" s="16">
        <f t="shared" si="0"/>
        <v>35177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1869</v>
      </c>
      <c r="AW5" s="1805"/>
      <c r="AX5" s="1805"/>
      <c r="AY5" s="17" t="s">
        <v>3</v>
      </c>
      <c r="AZ5" s="18">
        <f t="shared" ref="AZ5:BT5" si="1">SUM(AZ13:AZ656)</f>
        <v>17987.810000000001</v>
      </c>
      <c r="BA5" s="18">
        <f t="shared" si="1"/>
        <v>17987.810000000001</v>
      </c>
      <c r="BB5" s="18">
        <f t="shared" si="1"/>
        <v>17987.810000000001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1870</v>
      </c>
      <c r="B6" s="2174"/>
      <c r="C6" s="2174"/>
      <c r="D6" s="2175"/>
      <c r="E6" s="16">
        <f>H6+AC6+AT6</f>
        <v>50253.4</v>
      </c>
      <c r="F6" s="16" t="s">
        <v>1</v>
      </c>
      <c r="G6" s="16" t="s">
        <v>2</v>
      </c>
      <c r="H6" s="20">
        <f>SUMIF(I$12:AB$12,"总值",I6:AB6)</f>
        <v>50253.4</v>
      </c>
      <c r="I6" s="16">
        <f t="shared" ref="I6:AB6" si="2">ROUND($A$3*I5/$B$3,2)</f>
        <v>50253.4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1870</v>
      </c>
      <c r="AW6" s="2174"/>
      <c r="AX6" s="2174"/>
      <c r="AY6" s="21">
        <f>IF(AY3&gt;0,AY3,ROUND($A$3*AZ5/$B$3,2))</f>
        <v>25697.15</v>
      </c>
      <c r="AZ6" s="16" t="s">
        <v>3</v>
      </c>
      <c r="BA6" s="16">
        <f>ROUND($AY$6*BA5/$AZ$5,2)</f>
        <v>25697.15</v>
      </c>
      <c r="BB6" s="16">
        <f>ROUND($AY$6*BB5/$AZ$5,2)</f>
        <v>25697.15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1871</v>
      </c>
      <c r="B7" s="2109" t="s">
        <v>1872</v>
      </c>
      <c r="C7" s="2109" t="s">
        <v>1873</v>
      </c>
      <c r="D7" s="2109" t="s">
        <v>1874</v>
      </c>
      <c r="E7" s="2109" t="s">
        <v>1875</v>
      </c>
      <c r="F7" s="2109" t="s">
        <v>1876</v>
      </c>
      <c r="G7" s="2178" t="s">
        <v>1877</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1878</v>
      </c>
      <c r="AV7" s="23" t="s">
        <v>1879</v>
      </c>
      <c r="AW7" s="2166" t="s">
        <v>1880</v>
      </c>
      <c r="AX7" s="23" t="s">
        <v>1873</v>
      </c>
      <c r="AY7" s="1805" t="s">
        <v>1881</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1882</v>
      </c>
      <c r="H8" s="2184" t="s">
        <v>1883</v>
      </c>
      <c r="I8" s="2185"/>
      <c r="J8" s="1820"/>
      <c r="K8" s="1820"/>
      <c r="L8" s="1820"/>
      <c r="M8" s="1820"/>
      <c r="N8" s="1820"/>
      <c r="O8" s="1820"/>
      <c r="P8" s="1820"/>
      <c r="Q8" s="1820"/>
      <c r="R8" s="1820"/>
      <c r="S8" s="1820"/>
      <c r="T8" s="1820"/>
      <c r="U8" s="1820"/>
      <c r="V8" s="2186"/>
      <c r="W8" s="1820"/>
      <c r="X8" s="1820"/>
      <c r="Y8" s="1820"/>
      <c r="Z8" s="1820"/>
      <c r="AA8" s="2186"/>
      <c r="AB8" s="2187"/>
      <c r="AC8" s="983" t="s">
        <v>1884</v>
      </c>
      <c r="AD8" s="2188"/>
      <c r="AE8" s="2180"/>
      <c r="AF8" s="1820"/>
      <c r="AG8" s="1820"/>
      <c r="AH8" s="1820"/>
      <c r="AI8" s="1820"/>
      <c r="AJ8" s="1820"/>
      <c r="AK8" s="1820"/>
      <c r="AL8" s="1820"/>
      <c r="AM8" s="1820"/>
      <c r="AN8" s="1820"/>
      <c r="AO8" s="1820"/>
      <c r="AP8" s="1820"/>
      <c r="AQ8" s="1820"/>
      <c r="AR8" s="1820"/>
      <c r="AS8" s="1820"/>
      <c r="AT8" s="1294" t="s">
        <v>1885</v>
      </c>
      <c r="AU8" s="2182" t="s">
        <v>1886</v>
      </c>
      <c r="AV8" s="1294"/>
      <c r="AW8" s="2165"/>
      <c r="AX8" s="1294"/>
      <c r="AY8" s="2166" t="s">
        <v>1887</v>
      </c>
      <c r="AZ8" s="1819" t="s">
        <v>1888</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4"/>
      <c r="H9" s="2190" t="s">
        <v>1889</v>
      </c>
      <c r="I9" s="2191" t="s">
        <v>3068</v>
      </c>
      <c r="J9" s="983"/>
      <c r="K9" s="2191"/>
      <c r="L9" s="983"/>
      <c r="M9" s="2191"/>
      <c r="N9" s="983"/>
      <c r="O9" s="2191"/>
      <c r="P9" s="983"/>
      <c r="Q9" s="2191"/>
      <c r="R9" s="983"/>
      <c r="S9" s="2191"/>
      <c r="T9" s="983"/>
      <c r="U9" s="2191"/>
      <c r="V9" s="983"/>
      <c r="W9" s="2191"/>
      <c r="X9" s="2192"/>
      <c r="Y9" s="2191"/>
      <c r="Z9" s="983"/>
      <c r="AA9" s="2191"/>
      <c r="AB9" s="983"/>
      <c r="AC9" s="2183" t="s">
        <v>1889</v>
      </c>
      <c r="AD9" s="15" t="s">
        <v>1890</v>
      </c>
      <c r="AE9" s="1300"/>
      <c r="AF9" s="15" t="s">
        <v>1891</v>
      </c>
      <c r="AG9" s="1300"/>
      <c r="AH9" s="15" t="s">
        <v>1890</v>
      </c>
      <c r="AI9" s="1300"/>
      <c r="AJ9" s="15" t="s">
        <v>1891</v>
      </c>
      <c r="AK9" s="1300"/>
      <c r="AL9" s="15" t="s">
        <v>1890</v>
      </c>
      <c r="AM9" s="1300"/>
      <c r="AN9" s="15" t="s">
        <v>1891</v>
      </c>
      <c r="AO9" s="1300"/>
      <c r="AP9" s="15" t="s">
        <v>1890</v>
      </c>
      <c r="AQ9" s="1300"/>
      <c r="AR9" s="15" t="s">
        <v>1891</v>
      </c>
      <c r="AS9" s="2193"/>
      <c r="AT9" s="2182"/>
      <c r="AU9" s="2182" t="s">
        <v>1892</v>
      </c>
      <c r="AV9" s="1294"/>
      <c r="AW9" s="2165"/>
      <c r="AX9" s="1294"/>
      <c r="AY9" s="28"/>
      <c r="AZ9" s="28" t="s">
        <v>1882</v>
      </c>
      <c r="BA9" s="2194" t="s">
        <v>1893</v>
      </c>
      <c r="BB9" s="2195"/>
      <c r="BC9" s="1340"/>
      <c r="BD9" s="1340"/>
      <c r="BE9" s="1340"/>
      <c r="BF9" s="1340"/>
      <c r="BG9" s="1340"/>
      <c r="BH9" s="1340"/>
      <c r="BI9" s="1340"/>
      <c r="BJ9" s="1340"/>
      <c r="BK9" s="2196"/>
      <c r="BL9" s="15" t="s">
        <v>1894</v>
      </c>
      <c r="BM9" s="1820"/>
      <c r="BN9" s="2185"/>
      <c r="BO9" s="1820"/>
      <c r="BP9" s="1820"/>
      <c r="BQ9" s="1820"/>
      <c r="BR9" s="1820"/>
      <c r="BS9" s="1820"/>
      <c r="BT9" s="26"/>
    </row>
    <row r="10" spans="1:72" s="2189" customFormat="1" ht="12.75">
      <c r="A10" s="2182"/>
      <c r="B10" s="2182"/>
      <c r="C10" s="2182"/>
      <c r="D10" s="2182"/>
      <c r="E10" s="2182"/>
      <c r="F10" s="2182"/>
      <c r="G10" s="1294"/>
      <c r="H10" s="28"/>
      <c r="I10" s="2191" t="s">
        <v>6</v>
      </c>
      <c r="J10" s="983"/>
      <c r="K10" s="2197"/>
      <c r="L10" s="983"/>
      <c r="M10" s="2197"/>
      <c r="N10" s="983"/>
      <c r="O10" s="2197"/>
      <c r="P10" s="983"/>
      <c r="Q10" s="2197"/>
      <c r="R10" s="983"/>
      <c r="S10" s="2197"/>
      <c r="T10" s="983"/>
      <c r="U10" s="2197"/>
      <c r="V10" s="983"/>
      <c r="W10" s="2197"/>
      <c r="X10" s="983"/>
      <c r="Y10" s="2197"/>
      <c r="Z10" s="983"/>
      <c r="AA10" s="2197"/>
      <c r="AB10" s="983"/>
      <c r="AC10" s="1294"/>
      <c r="AD10" s="15" t="s">
        <v>1895</v>
      </c>
      <c r="AE10" s="2198"/>
      <c r="AF10" s="15" t="s">
        <v>1895</v>
      </c>
      <c r="AG10" s="2198"/>
      <c r="AH10" s="15" t="s">
        <v>1896</v>
      </c>
      <c r="AI10" s="2198"/>
      <c r="AJ10" s="15" t="s">
        <v>1896</v>
      </c>
      <c r="AK10" s="2198"/>
      <c r="AL10" s="15" t="s">
        <v>1897</v>
      </c>
      <c r="AM10" s="1300"/>
      <c r="AN10" s="15" t="s">
        <v>1897</v>
      </c>
      <c r="AO10" s="1300"/>
      <c r="AP10" s="15" t="s">
        <v>1898</v>
      </c>
      <c r="AQ10" s="1300"/>
      <c r="AR10" s="15" t="s">
        <v>1898</v>
      </c>
      <c r="AS10" s="1300"/>
      <c r="AT10" s="2182"/>
      <c r="AU10" s="2182"/>
      <c r="AV10" s="1294"/>
      <c r="AW10" s="2165"/>
      <c r="AX10" s="1294"/>
      <c r="AY10" s="28"/>
      <c r="AZ10" s="28"/>
      <c r="BA10" s="2199" t="s">
        <v>1889</v>
      </c>
      <c r="BB10" s="2200" t="str">
        <f>I9</f>
        <v>地上</v>
      </c>
      <c r="BC10" s="29">
        <f>K9</f>
        <v>0</v>
      </c>
      <c r="BD10" s="29">
        <f>M9</f>
        <v>0</v>
      </c>
      <c r="BE10" s="29">
        <f>O9</f>
        <v>0</v>
      </c>
      <c r="BF10" s="29">
        <f>Q9</f>
        <v>0</v>
      </c>
      <c r="BG10" s="29">
        <f>S9</f>
        <v>0</v>
      </c>
      <c r="BH10" s="29">
        <f>U9</f>
        <v>0</v>
      </c>
      <c r="BI10" s="29">
        <f>W9</f>
        <v>0</v>
      </c>
      <c r="BJ10" s="29">
        <f>Y9</f>
        <v>0</v>
      </c>
      <c r="BK10" s="29">
        <f>AA9</f>
        <v>0</v>
      </c>
      <c r="BL10" s="25" t="s">
        <v>1889</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4"/>
      <c r="H11" s="2199"/>
      <c r="I11" s="2202" t="s">
        <v>3069</v>
      </c>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1899</v>
      </c>
      <c r="AE11" s="1821"/>
      <c r="AF11" s="2204" t="s">
        <v>1899</v>
      </c>
      <c r="AG11" s="1821"/>
      <c r="AH11" s="2204" t="s">
        <v>1900</v>
      </c>
      <c r="AI11" s="2205"/>
      <c r="AJ11" s="2204" t="s">
        <v>1900</v>
      </c>
      <c r="AK11" s="1821"/>
      <c r="AL11" s="1819"/>
      <c r="AM11" s="1821"/>
      <c r="AN11" s="1819"/>
      <c r="AO11" s="1821"/>
      <c r="AP11" s="1819"/>
      <c r="AQ11" s="1821"/>
      <c r="AR11" s="1819"/>
      <c r="AS11" s="1821"/>
      <c r="AT11" s="2165"/>
      <c r="AU11" s="2182"/>
      <c r="AV11" s="1294"/>
      <c r="AW11" s="2165"/>
      <c r="AX11" s="1294"/>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4" t="s">
        <v>1902</v>
      </c>
      <c r="W12" s="11" t="s">
        <v>1901</v>
      </c>
      <c r="X12" s="11" t="s">
        <v>1902</v>
      </c>
      <c r="Y12" s="11" t="s">
        <v>1901</v>
      </c>
      <c r="Z12" s="11" t="s">
        <v>1902</v>
      </c>
      <c r="AA12" s="11" t="s">
        <v>1901</v>
      </c>
      <c r="AB12" s="11" t="s">
        <v>1902</v>
      </c>
      <c r="AC12" s="2209"/>
      <c r="AD12" s="1808"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7" t="s">
        <v>1902</v>
      </c>
      <c r="AT12" s="2210"/>
      <c r="AU12" s="2207"/>
      <c r="AV12" s="31"/>
      <c r="AW12" s="2166"/>
      <c r="AX12" s="31"/>
      <c r="AY12" s="2211"/>
      <c r="AZ12" s="28"/>
      <c r="BA12" s="2199"/>
      <c r="BB12" s="24" t="str">
        <f>I11</f>
        <v>工业用房</v>
      </c>
      <c r="BC12" s="2212">
        <f>K11</f>
        <v>0</v>
      </c>
      <c r="BD12" s="2212">
        <f>M11</f>
        <v>0</v>
      </c>
      <c r="BE12" s="2187">
        <f>O11</f>
        <v>0</v>
      </c>
      <c r="BF12" s="2187">
        <f>Q11</f>
        <v>0</v>
      </c>
      <c r="BG12" s="2187">
        <f>S11</f>
        <v>0</v>
      </c>
      <c r="BH12" s="2187">
        <f>U11</f>
        <v>0</v>
      </c>
      <c r="BI12" s="2187">
        <f>W11</f>
        <v>0</v>
      </c>
      <c r="BJ12" s="2187">
        <f>Y11</f>
        <v>0</v>
      </c>
      <c r="BK12" s="2187">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4"/>
      <c r="B13" s="1274"/>
      <c r="C13" s="1274">
        <v>6</v>
      </c>
      <c r="D13" s="2213" t="s">
        <v>3067</v>
      </c>
      <c r="E13" s="16">
        <f>IF($C$3="是",ROUND($A$3*G13/$B$3,2),ROUND($A$3*(G13-AT13)/$B$3,2))</f>
        <v>9326.84</v>
      </c>
      <c r="F13" s="32"/>
      <c r="G13" s="33">
        <f>H13+AC13+AT13</f>
        <v>6528.72</v>
      </c>
      <c r="H13" s="20">
        <f>SUMIF(I$12:AB$12,"总值",I13:AB13)</f>
        <v>6528.72</v>
      </c>
      <c r="I13" s="2214">
        <v>6528.72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6</v>
      </c>
      <c r="AY13" s="1808">
        <f>ROUND($AY$6*AZ13/$AZ$5,2)</f>
        <v>9326.84</v>
      </c>
      <c r="AZ13" s="16">
        <f>BA13+BL13</f>
        <v>6528.72</v>
      </c>
      <c r="BA13" s="16">
        <f>SUM(BB13:BK13)</f>
        <v>6528.72</v>
      </c>
      <c r="BB13" s="16">
        <f>IF($D13="是",I13-J13,0)</f>
        <v>6528.72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4"/>
      <c r="B14" s="1274"/>
      <c r="C14" s="2153">
        <v>7</v>
      </c>
      <c r="D14" s="2213" t="s">
        <v>3067</v>
      </c>
      <c r="E14" s="16">
        <f>IF($C$3="是",ROUND($A$3*G14/$B$3,2),ROUND($A$3*(G14-AT14)/$B$3,2))</f>
        <v>9326.84</v>
      </c>
      <c r="F14" s="32"/>
      <c r="G14" s="33">
        <f>H14+AC14+AT14</f>
        <v>6528.72</v>
      </c>
      <c r="H14" s="20">
        <f>SUMIF(I$12:AB$12,"总值",I14:AB14)</f>
        <v>6528.72</v>
      </c>
      <c r="I14" s="2214">
        <v>6528.72</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7</v>
      </c>
      <c r="AY14" s="1808">
        <f>ROUND($AY$6*AZ14/$AZ$5,2)</f>
        <v>9326.84</v>
      </c>
      <c r="AZ14" s="16">
        <f>BA14+BL14</f>
        <v>6528.72</v>
      </c>
      <c r="BA14" s="16">
        <f>SUM(BB14:BK14)</f>
        <v>6528.72</v>
      </c>
      <c r="BB14" s="16">
        <f>IF($D14="是",I14-J14,0)</f>
        <v>6528.72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2153">
        <v>1</v>
      </c>
      <c r="D15" s="2213" t="s">
        <v>3067</v>
      </c>
      <c r="E15" s="16">
        <f>IF($C$3="是",ROUND($A$3*G15/$B$3,2),ROUND($A$3*(G15-AT15)/$B$3,2))</f>
        <v>7043.46</v>
      </c>
      <c r="F15" s="32"/>
      <c r="G15" s="33">
        <f>H15+AC15+AT15</f>
        <v>4930.37</v>
      </c>
      <c r="H15" s="20">
        <f>SUMIF(I$12:AB$12,"总值",I15:AB15)</f>
        <v>4930.37</v>
      </c>
      <c r="I15" s="2214">
        <v>4930.37</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1</v>
      </c>
      <c r="AY15" s="1808">
        <f>ROUND($AY$6*AZ15/$AZ$5,2)</f>
        <v>7043.46</v>
      </c>
      <c r="AZ15" s="16">
        <f>BA15+BL15</f>
        <v>4930.37</v>
      </c>
      <c r="BA15" s="16">
        <f>SUM(BB15:BK15)</f>
        <v>4930.37</v>
      </c>
      <c r="BB15" s="16">
        <f>IF($D15="是",I15-J15,0)</f>
        <v>4930.37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v>35177</v>
      </c>
      <c r="B16" s="1274"/>
      <c r="C16" s="2968" t="s">
        <v>3317</v>
      </c>
      <c r="D16" s="2213" t="s">
        <v>3056</v>
      </c>
      <c r="E16" s="16">
        <f>IF($C$3="是",ROUND($A$3*G16/$B$3,2),ROUND($A$3*(G16-AT16)/$B$3,2))</f>
        <v>24556.25</v>
      </c>
      <c r="F16" s="32"/>
      <c r="G16" s="33">
        <f>H16+AC16+AT16</f>
        <v>17189.189999999999</v>
      </c>
      <c r="H16" s="20">
        <f>SUMIF(I$12:AB$12,"总值",I16:AB16)</f>
        <v>17189.189999999999</v>
      </c>
      <c r="I16" s="2214">
        <f>A16-I15-I14-I13</f>
        <v>17189.189999999999</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35177</v>
      </c>
      <c r="AW16" s="11">
        <f t="shared" si="6"/>
        <v>0</v>
      </c>
      <c r="AX16" s="11" t="str">
        <f t="shared" si="6"/>
        <v>其他</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1928</v>
      </c>
      <c r="B1" s="1394"/>
      <c r="C1" s="1394"/>
      <c r="D1" s="1394"/>
      <c r="E1" s="1394"/>
      <c r="F1" s="1394"/>
      <c r="G1" s="1394"/>
      <c r="H1" s="1394"/>
      <c r="I1" s="1394"/>
      <c r="J1" s="1394"/>
      <c r="K1" s="1394"/>
      <c r="L1" s="1394"/>
      <c r="M1" s="1394"/>
      <c r="N1" s="1394"/>
      <c r="O1" s="1394"/>
      <c r="P1" s="1394"/>
    </row>
    <row r="2" spans="1:16" ht="15">
      <c r="A2" s="3056" t="s">
        <v>1929</v>
      </c>
      <c r="B2" s="3056"/>
      <c r="C2" s="3056"/>
      <c r="D2" s="969" t="s">
        <v>1905</v>
      </c>
      <c r="E2" s="2227" t="s">
        <v>1906</v>
      </c>
      <c r="F2" s="1394"/>
      <c r="G2" s="2228"/>
      <c r="H2" s="2229"/>
      <c r="I2" s="2230" t="s">
        <v>1930</v>
      </c>
      <c r="J2" s="1394"/>
      <c r="K2" s="1394"/>
      <c r="L2" s="1394"/>
      <c r="M2" s="1394"/>
      <c r="N2" s="1429"/>
      <c r="O2" s="1394"/>
      <c r="P2" s="1394"/>
    </row>
    <row r="3" spans="1:16" ht="15.75" thickBot="1">
      <c r="A3" s="3057" t="s">
        <v>1903</v>
      </c>
      <c r="B3" s="3057"/>
      <c r="C3" s="3057"/>
      <c r="D3" s="46">
        <f>'数据-基础表'!AY6</f>
        <v>25697.15</v>
      </c>
      <c r="E3" s="46">
        <f>'数据-基础表'!AZ5</f>
        <v>17987.810000000001</v>
      </c>
      <c r="F3" s="1394"/>
      <c r="G3" s="1401"/>
      <c r="H3" s="1249" t="s">
        <v>1904</v>
      </c>
      <c r="I3" s="55">
        <f>ROUND('数据-基础表'!B3/'数据-基础表'!A3,2)</f>
        <v>0.7</v>
      </c>
      <c r="J3" s="1394"/>
      <c r="K3" s="1394"/>
      <c r="L3" s="1394"/>
      <c r="M3" s="1394"/>
      <c r="N3" s="1429"/>
      <c r="O3" s="1394"/>
      <c r="P3" s="1394"/>
    </row>
    <row r="4" spans="1:16" ht="15">
      <c r="A4" s="3058"/>
      <c r="B4" s="3059"/>
      <c r="C4" s="3060"/>
      <c r="D4" s="2231" t="s">
        <v>1905</v>
      </c>
      <c r="E4" s="2232" t="s">
        <v>1906</v>
      </c>
      <c r="F4" s="1394"/>
      <c r="G4" s="2233" t="s">
        <v>1931</v>
      </c>
      <c r="H4" s="1249" t="s">
        <v>1911</v>
      </c>
      <c r="I4" s="55">
        <f>ROUND(SUMIF('数据-基础表'!I9:AS9,"地上",'数据-基础表'!I5:AS5)/'数据-基础表'!A3,2)</f>
        <v>0.7</v>
      </c>
      <c r="J4" s="1394"/>
      <c r="K4" s="1394"/>
      <c r="L4" s="1394"/>
      <c r="M4" s="1394"/>
      <c r="N4" s="1429"/>
      <c r="O4" s="1394"/>
      <c r="P4" s="1394"/>
    </row>
    <row r="5" spans="1:16">
      <c r="A5" s="47" t="s">
        <v>1907</v>
      </c>
      <c r="B5" s="3061" t="s">
        <v>1908</v>
      </c>
      <c r="C5" s="3061"/>
      <c r="D5" s="48">
        <f>ROUND($D$3*E5/$E$3,2)</f>
        <v>0</v>
      </c>
      <c r="E5" s="49">
        <f>SUMIF('数据-基础表'!$11:$11,"住宅",'数据-基础表'!$5:$5)</f>
        <v>0</v>
      </c>
      <c r="F5" s="1394"/>
      <c r="G5" s="1401"/>
      <c r="H5" s="1249" t="s">
        <v>1904</v>
      </c>
      <c r="I5" s="55">
        <f>ROUND(E31/D31,2)</f>
        <v>0.7</v>
      </c>
      <c r="J5" s="1394"/>
      <c r="K5" s="1394"/>
      <c r="L5" s="1394"/>
      <c r="M5" s="1394"/>
      <c r="N5" s="1394"/>
      <c r="O5" s="1394"/>
      <c r="P5" s="1394"/>
    </row>
    <row r="6" spans="1:16" ht="15" thickBot="1">
      <c r="A6" s="2234"/>
      <c r="B6" s="3061" t="s">
        <v>1909</v>
      </c>
      <c r="C6" s="3061"/>
      <c r="D6" s="48">
        <f>ROUND($D$3*E6/$E$3,2)</f>
        <v>25697.15</v>
      </c>
      <c r="E6" s="49">
        <f>E3-E5</f>
        <v>17987.810000000001</v>
      </c>
      <c r="F6" s="1394"/>
      <c r="G6" s="2235" t="s">
        <v>1910</v>
      </c>
      <c r="H6" s="1401" t="s">
        <v>1911</v>
      </c>
      <c r="I6" s="941">
        <f>ROUND(F31/D31,2)</f>
        <v>0.7</v>
      </c>
      <c r="J6" s="1394"/>
      <c r="K6" s="1394"/>
      <c r="L6" s="1394"/>
      <c r="M6" s="1394"/>
      <c r="N6" s="1394"/>
      <c r="O6" s="1394"/>
      <c r="P6" s="1394"/>
    </row>
    <row r="7" spans="1:16" ht="15">
      <c r="A7" s="3053"/>
      <c r="B7" s="3054"/>
      <c r="C7" s="3055"/>
      <c r="D7" s="2231" t="s">
        <v>1905</v>
      </c>
      <c r="E7" s="2236" t="s">
        <v>1912</v>
      </c>
      <c r="F7" s="1394"/>
      <c r="G7" s="2228" t="s">
        <v>1913</v>
      </c>
      <c r="H7" s="64"/>
      <c r="I7" s="419"/>
      <c r="J7" s="1394"/>
      <c r="K7" s="1394"/>
      <c r="L7" s="1394"/>
      <c r="M7" s="1394"/>
      <c r="N7" s="1394"/>
      <c r="O7" s="1394"/>
      <c r="P7" s="1394"/>
    </row>
    <row r="8" spans="1:16">
      <c r="A8" s="47" t="s">
        <v>1914</v>
      </c>
      <c r="B8" s="50" t="s">
        <v>1915</v>
      </c>
      <c r="C8" s="48" t="s">
        <v>1916</v>
      </c>
      <c r="D8" s="48">
        <f t="shared" ref="D8:D15" si="0">ROUND($D$3*E8/$E$3,2)</f>
        <v>25697.15</v>
      </c>
      <c r="E8" s="51">
        <f>SUMIF('数据-基础表'!BB10:BK10,"地上",'数据-基础表'!BB5:BK5)</f>
        <v>17987.810000000001</v>
      </c>
      <c r="F8" s="1394"/>
      <c r="G8" s="2237"/>
      <c r="H8" s="2237"/>
      <c r="I8" s="1394"/>
      <c r="J8" s="1394"/>
      <c r="K8" s="1394"/>
      <c r="L8" s="1394"/>
      <c r="M8" s="1394"/>
      <c r="N8" s="1394"/>
      <c r="O8" s="1394"/>
      <c r="P8" s="1394"/>
    </row>
    <row r="9" spans="1:16">
      <c r="A9" s="2238"/>
      <c r="B9" s="2239"/>
      <c r="C9" s="48" t="s">
        <v>1917</v>
      </c>
      <c r="D9" s="48">
        <f t="shared" si="0"/>
        <v>0</v>
      </c>
      <c r="E9" s="52">
        <v>0</v>
      </c>
      <c r="F9" s="1394"/>
      <c r="G9" s="2237"/>
      <c r="H9" s="2237"/>
      <c r="I9" s="1394"/>
      <c r="J9" s="1394"/>
      <c r="K9" s="1394"/>
      <c r="L9" s="1394"/>
      <c r="M9" s="1394"/>
      <c r="N9" s="1394"/>
      <c r="O9" s="1394"/>
      <c r="P9" s="1394"/>
    </row>
    <row r="10" spans="1:16">
      <c r="A10" s="2238"/>
      <c r="B10" s="2239"/>
      <c r="C10" s="48" t="s">
        <v>1926</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8" t="s">
        <v>1918</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8" t="s">
        <v>1919</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8" t="s">
        <v>1920</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8" t="s">
        <v>1932</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1927</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1921</v>
      </c>
      <c r="D16" s="50">
        <f>SUM(D8:D15)</f>
        <v>25697.15</v>
      </c>
      <c r="E16" s="53">
        <f>SUM(E8:E15)</f>
        <v>17987.810000000001</v>
      </c>
      <c r="F16" s="1394"/>
      <c r="G16" s="2237"/>
      <c r="H16" s="2240" t="s">
        <v>1933</v>
      </c>
      <c r="I16" s="2241"/>
      <c r="J16" s="1394"/>
      <c r="K16" s="3050" t="s">
        <v>1933</v>
      </c>
      <c r="L16" s="3051"/>
      <c r="M16" s="3051"/>
      <c r="N16" s="3051"/>
      <c r="O16" s="3051"/>
      <c r="P16" s="3052"/>
    </row>
    <row r="17" spans="1:19" ht="15">
      <c r="A17" s="2242" t="s">
        <v>1934</v>
      </c>
      <c r="B17" s="2243" t="s">
        <v>1935</v>
      </c>
      <c r="C17" s="2244" t="s">
        <v>1936</v>
      </c>
      <c r="D17" s="2245" t="s">
        <v>1924</v>
      </c>
      <c r="E17" s="2246" t="s">
        <v>1925</v>
      </c>
      <c r="F17" s="2247"/>
      <c r="G17" s="2248"/>
      <c r="H17" s="2249" t="s">
        <v>1937</v>
      </c>
      <c r="I17" s="2250" t="s">
        <v>1922</v>
      </c>
      <c r="J17" s="1394"/>
      <c r="K17" s="3047" t="s">
        <v>1938</v>
      </c>
      <c r="L17" s="3048"/>
      <c r="M17" s="3049"/>
      <c r="N17" s="3047" t="s">
        <v>1939</v>
      </c>
      <c r="O17" s="3048"/>
      <c r="P17" s="3049"/>
      <c r="R17" s="2228" t="s">
        <v>1940</v>
      </c>
      <c r="S17" s="64"/>
    </row>
    <row r="18" spans="1:19" ht="15">
      <c r="A18" s="2238"/>
      <c r="B18" s="2251"/>
      <c r="C18" s="2252"/>
      <c r="D18" s="2253"/>
      <c r="E18" s="2254" t="s">
        <v>1941</v>
      </c>
      <c r="F18" s="2255" t="s">
        <v>1942</v>
      </c>
      <c r="G18" s="2256" t="s">
        <v>1943</v>
      </c>
      <c r="H18" s="1264" t="s">
        <v>1944</v>
      </c>
      <c r="I18" s="2257" t="s">
        <v>1945</v>
      </c>
      <c r="J18" s="1394"/>
      <c r="K18" s="1264" t="s">
        <v>1946</v>
      </c>
      <c r="L18" s="2258" t="s">
        <v>1947</v>
      </c>
      <c r="M18" s="1048" t="s">
        <v>1948</v>
      </c>
      <c r="N18" s="1264" t="s">
        <v>1946</v>
      </c>
      <c r="O18" s="2258" t="s">
        <v>1947</v>
      </c>
      <c r="P18" s="1048" t="s">
        <v>1948</v>
      </c>
      <c r="R18" s="1249" t="s">
        <v>1949</v>
      </c>
      <c r="S18" s="1249" t="s">
        <v>1950</v>
      </c>
    </row>
    <row r="19" spans="1:19">
      <c r="A19" s="2259"/>
      <c r="B19" s="50" t="s">
        <v>1923</v>
      </c>
      <c r="C19" s="2950" t="s">
        <v>3071</v>
      </c>
      <c r="D19" s="48">
        <f>ROUND($D$3*E19/$E$3,2)</f>
        <v>25697.15</v>
      </c>
      <c r="E19" s="56">
        <f t="shared" ref="E19:E26" si="1">SUM(F19:G19)</f>
        <v>17987.810000000001</v>
      </c>
      <c r="F19" s="57">
        <f>'数据-基础表'!I13+'数据-基础表'!I14+'数据-基础表'!I15</f>
        <v>17987.810000000001</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25697.15</v>
      </c>
      <c r="S19" s="1250">
        <f t="shared" si="5"/>
        <v>17987.810000000001</v>
      </c>
    </row>
    <row r="20" spans="1:19">
      <c r="A20" s="2263"/>
      <c r="B20" s="50" t="s">
        <v>1951</v>
      </c>
      <c r="C20" s="2260"/>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0</v>
      </c>
    </row>
    <row r="21" spans="1:19">
      <c r="A21" s="2263"/>
      <c r="B21" s="50" t="s">
        <v>1951</v>
      </c>
      <c r="C21" s="2260"/>
      <c r="D21" s="48">
        <f t="shared" si="6"/>
        <v>0</v>
      </c>
      <c r="E21" s="56">
        <f t="shared" si="1"/>
        <v>0</v>
      </c>
      <c r="F21" s="57"/>
      <c r="G21" s="58"/>
      <c r="H21" s="722">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50" t="s">
        <v>1951</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1951</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1951</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1951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1951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75" thickBot="1">
      <c r="A27" s="2263"/>
      <c r="B27" s="48"/>
      <c r="C27" s="2266" t="s">
        <v>1952</v>
      </c>
      <c r="D27" s="1395">
        <f>SUM(D19:D26)</f>
        <v>25697.15</v>
      </c>
      <c r="E27" s="1396">
        <f>IF(SUM(E19:E26)='数据-基础表'!BA5,SUM(E19:E26),IF(F27="地上面积有误","面积有误","地下面积有误"))</f>
        <v>17987.810000000001</v>
      </c>
      <c r="F27" s="1395">
        <f>IF(SUM(F19:F26)=E8,SUM(F19:F26),"地上面积有误")</f>
        <v>17987.810000000001</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25697.15</v>
      </c>
      <c r="S27" s="1249">
        <f>IF(SUM(S19:S26)=$E$3,SUM(S19:S26),SUM(S19:S26)&amp;"误差"&amp;ROUND(SUM(S19:S26)-E3,2))</f>
        <v>17987.810000000001</v>
      </c>
    </row>
    <row r="28" spans="1:19">
      <c r="A28" s="2263"/>
      <c r="B28" s="50" t="s">
        <v>1953</v>
      </c>
      <c r="C28" s="1261" t="s">
        <v>1954</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3"/>
      <c r="B29" s="50" t="s">
        <v>1953</v>
      </c>
      <c r="C29" s="2267" t="s">
        <v>1955</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1952</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09" t="s">
        <v>1956</v>
      </c>
      <c r="D31" s="728">
        <f>D27+D30</f>
        <v>25697.15</v>
      </c>
      <c r="E31" s="728">
        <f>E27+E30</f>
        <v>17987.810000000001</v>
      </c>
      <c r="F31" s="729">
        <f>F27+F30</f>
        <v>17987.810000000001</v>
      </c>
      <c r="G31" s="730">
        <f>G27+G30</f>
        <v>0</v>
      </c>
      <c r="H31" s="1394"/>
      <c r="I31" s="1394"/>
      <c r="J31" s="1394"/>
      <c r="K31" s="1394"/>
      <c r="L31" s="1394"/>
      <c r="M31" s="1394"/>
      <c r="N31" s="1394"/>
      <c r="O31" s="1394"/>
      <c r="P31" s="1394"/>
    </row>
    <row r="32" spans="1:19">
      <c r="A32" s="2233"/>
      <c r="B32" s="2233" t="s">
        <v>1957</v>
      </c>
      <c r="C32" s="2233"/>
      <c r="D32" s="2233"/>
      <c r="E32" s="1276">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Q22" sqref="Q22"/>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1958</v>
      </c>
      <c r="B1" s="731"/>
      <c r="C1" s="1583"/>
      <c r="D1" s="2273"/>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1959</v>
      </c>
      <c r="B2" s="1268">
        <f>项目基本情况!D3</f>
        <v>43487</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1960</v>
      </c>
      <c r="B4" s="2281"/>
      <c r="C4" s="2282"/>
      <c r="D4" s="2283"/>
      <c r="E4" s="2282" t="s">
        <v>1961</v>
      </c>
      <c r="F4" s="2282"/>
      <c r="G4" s="2282"/>
      <c r="H4" s="2282"/>
      <c r="I4" s="2282"/>
      <c r="J4" s="2284"/>
      <c r="K4" s="2285"/>
      <c r="L4" s="2286"/>
      <c r="M4" s="2282"/>
      <c r="N4" s="2282" t="s">
        <v>1962</v>
      </c>
      <c r="O4" s="2282"/>
      <c r="P4" s="2282"/>
      <c r="Q4" s="2282"/>
      <c r="R4" s="2282"/>
      <c r="S4" s="2284"/>
      <c r="T4" s="2287" t="str">
        <f>'数据-汇总表'!I17</f>
        <v>按面积比例</v>
      </c>
      <c r="U4" s="2281" t="s">
        <v>1963</v>
      </c>
      <c r="V4" s="2282"/>
      <c r="W4" s="2282"/>
      <c r="X4" s="2282"/>
      <c r="Y4" s="2284"/>
      <c r="Z4" s="2244" t="s">
        <v>1964</v>
      </c>
      <c r="AA4" s="2244"/>
      <c r="AB4" s="2244"/>
      <c r="AC4" s="2244"/>
      <c r="AD4" s="2244"/>
      <c r="AE4" s="2242" t="s">
        <v>1965</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1966</v>
      </c>
      <c r="B5" s="2290" t="s">
        <v>1967</v>
      </c>
      <c r="C5" s="2291" t="s">
        <v>1968</v>
      </c>
      <c r="D5" s="2292" t="s">
        <v>1969</v>
      </c>
      <c r="E5" s="1270" t="s">
        <v>1970</v>
      </c>
      <c r="F5" s="2293" t="s">
        <v>1971</v>
      </c>
      <c r="G5" s="1270" t="s">
        <v>1972</v>
      </c>
      <c r="H5" s="1270" t="s">
        <v>1973</v>
      </c>
      <c r="I5" s="1270" t="s">
        <v>1974</v>
      </c>
      <c r="J5" s="2294" t="s">
        <v>1975</v>
      </c>
      <c r="K5" s="2295" t="s">
        <v>1976</v>
      </c>
      <c r="L5" s="2296" t="s">
        <v>1977</v>
      </c>
      <c r="M5" s="2297" t="s">
        <v>1978</v>
      </c>
      <c r="N5" s="2298" t="s">
        <v>3072</v>
      </c>
      <c r="O5" s="2296" t="s">
        <v>1979</v>
      </c>
      <c r="P5" s="2299" t="s">
        <v>1980</v>
      </c>
      <c r="Q5" s="69" t="s">
        <v>1981</v>
      </c>
      <c r="R5" s="2300" t="s">
        <v>1982</v>
      </c>
      <c r="S5" s="2301" t="s">
        <v>1983</v>
      </c>
      <c r="T5" s="2302" t="s">
        <v>1984</v>
      </c>
      <c r="U5" s="1269" t="s">
        <v>1985</v>
      </c>
      <c r="V5" s="1270" t="s">
        <v>1986</v>
      </c>
      <c r="W5" s="1270" t="s">
        <v>1987</v>
      </c>
      <c r="X5" s="71"/>
      <c r="Y5" s="70" t="s">
        <v>1988</v>
      </c>
      <c r="Z5" s="2303" t="s">
        <v>1985</v>
      </c>
      <c r="AA5" s="1270" t="s">
        <v>1986</v>
      </c>
      <c r="AB5" s="1270" t="s">
        <v>1987</v>
      </c>
      <c r="AC5" s="71"/>
      <c r="AD5" s="71" t="s">
        <v>1988</v>
      </c>
      <c r="AE5" s="1269" t="s">
        <v>1989</v>
      </c>
      <c r="AF5" s="1270" t="s">
        <v>1990</v>
      </c>
      <c r="AG5" s="70" t="s">
        <v>1991</v>
      </c>
      <c r="AH5" s="1269" t="s">
        <v>1992</v>
      </c>
      <c r="AI5" s="2303" t="s">
        <v>1993</v>
      </c>
      <c r="AJ5" s="2303" t="s">
        <v>1994</v>
      </c>
      <c r="AK5" s="1270" t="s">
        <v>1995</v>
      </c>
      <c r="AL5" s="1270" t="s">
        <v>1996</v>
      </c>
      <c r="AM5" s="70" t="s">
        <v>1997</v>
      </c>
      <c r="AN5" s="2304" t="s">
        <v>1998</v>
      </c>
      <c r="AO5" s="2074" t="s">
        <v>1999</v>
      </c>
      <c r="AP5" s="1251" t="s">
        <v>2000</v>
      </c>
      <c r="AQ5" s="2305" t="s">
        <v>2001</v>
      </c>
      <c r="AR5" s="2305" t="s">
        <v>2002</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工业用房</v>
      </c>
      <c r="B6" s="2307" t="str">
        <f>IF(A6=0,"","经营性")</f>
        <v>经营性</v>
      </c>
      <c r="C6" s="2308" t="s">
        <v>6</v>
      </c>
      <c r="D6" s="1053">
        <f>SUMIF(项目基本情况!D$12:I$12,C6,项目基本情况!D$14:I$14)</f>
        <v>50</v>
      </c>
      <c r="E6" s="1050">
        <f>IF(B6="","",SUMIF(项目基本情况!D$12:I$12,C6,项目基本情况!D$13:I$13))</f>
        <v>60814</v>
      </c>
      <c r="F6" s="72">
        <f>SUMIF(项目基本情况!D$12:I$12,C6,项目基本情况!D$15:I$15)</f>
        <v>47.47</v>
      </c>
      <c r="G6" s="73">
        <f>IF(ISERROR(ROUND(POWER(1+H6,D6-F6)*(POWER(1+H6,F6)-1)/(POWER(1+H6,D6)-1),3)),0,ROUND(POWER(1+H6,D6-F6)*(POWER(1+H6,F6)-1)/(POWER(1+H6,D6)-1),3))</f>
        <v>0.98499999999999999</v>
      </c>
      <c r="H6" s="801">
        <v>4.4999999999999998E-2</v>
      </c>
      <c r="I6" s="801">
        <v>0.05</v>
      </c>
      <c r="J6" s="74">
        <v>8.5000000000000006E-2</v>
      </c>
      <c r="K6" s="1253">
        <f>SUMIF('数据-汇总表'!C$19:C$33,A6,'数据-汇总表'!E$19:E$33)</f>
        <v>17987.810000000001</v>
      </c>
      <c r="L6" s="802">
        <v>1500</v>
      </c>
      <c r="M6" s="75">
        <f t="shared" ref="M6:M14" si="0">ROUND(K6*L6/10000,0)</f>
        <v>2698</v>
      </c>
      <c r="N6" s="800">
        <f>ROUND(O19*L19/L21+O20*L20/L21,2)</f>
        <v>0.99</v>
      </c>
      <c r="O6" s="75" t="str">
        <f>IF($N$5="成新度","——",ROUND(M6*N6,0))</f>
        <v>——</v>
      </c>
      <c r="P6" s="76" t="str">
        <f>IF($N$5="成新度","——",M6-O6)</f>
        <v>——</v>
      </c>
      <c r="Q6" s="803">
        <v>0.1</v>
      </c>
      <c r="R6" s="77">
        <f ca="1">SUMIF('数据-汇总表'!C$19:C$33,A6,'数据-汇总表'!R$19:R$27)</f>
        <v>25697.15</v>
      </c>
      <c r="S6" s="54">
        <f>IF('数据-汇总表'!$I$17="按面积比例",SUMIF('数据-汇总表'!C$19:C$33,A6,'数据-汇总表'!K$19:K$33),SUMIF('数据-汇总表'!C$19:C$33,A6,'数据-汇总表'!N$19:N$33))</f>
        <v>0</v>
      </c>
      <c r="T6" s="1445">
        <f>ROUND($L$14*S6/10000,0)</f>
        <v>0</v>
      </c>
      <c r="U6" s="78">
        <v>0.6</v>
      </c>
      <c r="V6" s="79">
        <v>0.02</v>
      </c>
      <c r="W6" s="79">
        <v>0.1</v>
      </c>
      <c r="X6" s="1263"/>
      <c r="Y6" s="80">
        <f>N6</f>
        <v>0.99</v>
      </c>
      <c r="Z6" s="81"/>
      <c r="AA6" s="74"/>
      <c r="AB6" s="74"/>
      <c r="AC6" s="1263"/>
      <c r="AD6" s="82"/>
      <c r="AE6" s="1264">
        <f ca="1">IF(AN6="",0,SUMIF(INDIRECT("'"&amp;AN6&amp;"'"&amp;"!E:E"),$AE$5,INDIRECT("'"&amp;AN6&amp;"'"&amp;"!F:F")))</f>
        <v>47.47</v>
      </c>
      <c r="AF6" s="1806"/>
      <c r="AG6" s="146">
        <f>IF(AF6="",0,AE6-AF6)</f>
        <v>0</v>
      </c>
      <c r="AH6" s="83"/>
      <c r="AI6" s="85">
        <v>365</v>
      </c>
      <c r="AJ6" s="86"/>
      <c r="AK6" s="87">
        <v>1.4999999999999999E-2</v>
      </c>
      <c r="AL6" s="88">
        <v>1.5E-3</v>
      </c>
      <c r="AM6" s="89">
        <v>0.01</v>
      </c>
      <c r="AN6" s="2309" t="s">
        <v>3079</v>
      </c>
      <c r="AO6" s="55">
        <f ca="1">SUMIF(INDIRECT("'"&amp;AN6&amp;"'"&amp;"!A:A"),"总价",INDIRECT("'"&amp;AN6&amp;"'"&amp;"!B:B"))</f>
        <v>5431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2003</v>
      </c>
      <c r="B14" s="2307" t="s">
        <v>2004</v>
      </c>
      <c r="C14" s="2312" t="s">
        <v>2003</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2005</v>
      </c>
      <c r="B15" s="2307" t="s">
        <v>2004</v>
      </c>
      <c r="C15" s="2312" t="s">
        <v>2006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2007</v>
      </c>
      <c r="B16" s="97"/>
      <c r="C16" s="1007"/>
      <c r="D16" s="2314"/>
      <c r="E16" s="97"/>
      <c r="F16" s="97"/>
      <c r="G16" s="98">
        <f>ROUND(SUMPRODUCT(G6:G13,K6:K13)/SUMPRODUCT((G6:G13&gt;0)*(K6:K13)),3)</f>
        <v>0.98499999999999999</v>
      </c>
      <c r="H16" s="99">
        <f>ROUND(SUMPRODUCT(H6:H13,K6:K13)/SUMPRODUCT((H6:H13&gt;0)*(K6:K13)),3)</f>
        <v>4.4999999999999998E-2</v>
      </c>
      <c r="I16" s="100"/>
      <c r="J16" s="100"/>
      <c r="K16" s="101">
        <f>SUM(K6:K15)</f>
        <v>17987.810000000001</v>
      </c>
      <c r="L16" s="102">
        <f>ROUND(M16*10000/SUM(K6:K14),0)</f>
        <v>1500</v>
      </c>
      <c r="M16" s="102">
        <f>SUM(M6:M14)</f>
        <v>2698</v>
      </c>
      <c r="N16" s="103">
        <f>ROUND(SUMPRODUCT(M6:M14,N6:N14)/M16,3)</f>
        <v>0.99</v>
      </c>
      <c r="O16" s="102">
        <f>SUM(O6:O14)</f>
        <v>0</v>
      </c>
      <c r="P16" s="102">
        <f>SUM(P6:P14)</f>
        <v>0</v>
      </c>
      <c r="Q16" s="104">
        <f>ROUND(SUMPRODUCT(Q6:Q13,K6:K13)/SUMPRODUCT((Q6:Q13&gt;0)*(K6:K13)),2)</f>
        <v>0.1</v>
      </c>
      <c r="R16" s="1257">
        <f ca="1">SUM(R6:R13)</f>
        <v>25697.15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3"/>
      <c r="D17" s="2273"/>
      <c r="E17" s="2273"/>
      <c r="F17" s="1583"/>
      <c r="G17" s="1583"/>
      <c r="H17" s="1583"/>
      <c r="I17" s="1583"/>
      <c r="J17" s="1583"/>
      <c r="K17" s="167"/>
      <c r="L17" s="167"/>
      <c r="M17" s="1583"/>
      <c r="N17" s="2952">
        <v>2018</v>
      </c>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2008</v>
      </c>
      <c r="B18" s="2280"/>
      <c r="C18" s="2277"/>
      <c r="D18" s="2278"/>
      <c r="E18" s="2277"/>
      <c r="F18" s="2277"/>
      <c r="G18" s="2277"/>
      <c r="H18" s="2277"/>
      <c r="I18" s="2277"/>
      <c r="J18" s="2277"/>
      <c r="K18" s="2952"/>
      <c r="L18" s="2953" t="s">
        <v>3074</v>
      </c>
      <c r="M18" s="2953" t="s">
        <v>3073</v>
      </c>
      <c r="N18" s="2953" t="s">
        <v>3077</v>
      </c>
      <c r="O18" s="2951" t="s">
        <v>3078</v>
      </c>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2009</v>
      </c>
      <c r="B19" s="112">
        <v>0</v>
      </c>
      <c r="C19" s="2277" t="s">
        <v>2010</v>
      </c>
      <c r="D19" s="2278"/>
      <c r="E19" s="2277"/>
      <c r="F19" s="2277"/>
      <c r="G19" s="2277"/>
      <c r="H19" s="2277"/>
      <c r="I19" s="2277"/>
      <c r="J19" s="2277"/>
      <c r="K19" s="2953" t="s">
        <v>3075</v>
      </c>
      <c r="L19" s="2952">
        <f>'数据-基础表'!I13+'数据-基础表'!I14</f>
        <v>13057.44</v>
      </c>
      <c r="M19" s="2952">
        <v>70</v>
      </c>
      <c r="N19" s="2954">
        <v>0.02</v>
      </c>
      <c r="O19" s="2956">
        <f>ROUND(1-(1-N19)*(2019-N17)/M19,2)</f>
        <v>0.99</v>
      </c>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2011</v>
      </c>
      <c r="B20" s="113">
        <v>1</v>
      </c>
      <c r="C20" s="2277" t="s">
        <v>2012</v>
      </c>
      <c r="D20" s="2278"/>
      <c r="E20" s="2277"/>
      <c r="F20" s="2277"/>
      <c r="G20" s="2277"/>
      <c r="H20" s="2277"/>
      <c r="I20" s="2277"/>
      <c r="J20" s="2277"/>
      <c r="K20" s="2953" t="s">
        <v>3076</v>
      </c>
      <c r="L20" s="2952">
        <f>'数据-基础表'!I15</f>
        <v>4930.37</v>
      </c>
      <c r="M20" s="2952">
        <v>60</v>
      </c>
      <c r="N20" s="2954">
        <v>0</v>
      </c>
      <c r="O20" s="2956">
        <f>ROUND(1-(1-N20)*(2019-N17)/M20,2)</f>
        <v>0.98</v>
      </c>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2013</v>
      </c>
      <c r="B21" s="113">
        <v>1</v>
      </c>
      <c r="C21" s="2277"/>
      <c r="D21" s="2278"/>
      <c r="E21" s="2277"/>
      <c r="F21" s="2277"/>
      <c r="G21" s="2277"/>
      <c r="H21" s="2277"/>
      <c r="I21" s="2277"/>
      <c r="J21" s="2277"/>
      <c r="K21" s="167"/>
      <c r="L21" s="2955">
        <f>K16</f>
        <v>17987.810000000001</v>
      </c>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2014</v>
      </c>
      <c r="B22" s="114">
        <f>B19+B20</f>
        <v>1</v>
      </c>
      <c r="C22" s="2277"/>
      <c r="D22" s="2278"/>
      <c r="E22" s="2277"/>
      <c r="F22" s="2277"/>
      <c r="G22" s="2277"/>
      <c r="H22" s="2277"/>
      <c r="I22" s="2277"/>
      <c r="J22" s="2277"/>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2015</v>
      </c>
      <c r="B23" s="114">
        <f>B19+B21</f>
        <v>1</v>
      </c>
      <c r="C23" s="2277"/>
      <c r="D23" s="2278"/>
      <c r="E23" s="2277"/>
      <c r="F23" s="2277"/>
      <c r="G23" s="2277"/>
      <c r="H23" s="2277"/>
      <c r="I23" s="2277"/>
      <c r="J23" s="2277"/>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2016</v>
      </c>
      <c r="B24" s="115">
        <f>B20-B21</f>
        <v>0</v>
      </c>
      <c r="C24" s="2277"/>
      <c r="D24" s="2278"/>
      <c r="E24" s="2277"/>
      <c r="F24" s="2277"/>
      <c r="G24" s="2277"/>
      <c r="H24" s="2277"/>
      <c r="I24" s="2277"/>
      <c r="J24" s="2277"/>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2017</v>
      </c>
      <c r="B26" s="2320" t="s">
        <v>2018</v>
      </c>
      <c r="C26" s="2321" t="s">
        <v>2019</v>
      </c>
      <c r="D26" s="2278"/>
      <c r="E26" s="2277"/>
      <c r="F26" s="2277"/>
      <c r="G26" s="2277"/>
      <c r="H26" s="2277"/>
      <c r="I26" s="2277"/>
      <c r="J26" s="2277"/>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2020</v>
      </c>
      <c r="B27" s="2957"/>
      <c r="C27" s="1766" t="s">
        <v>2021</v>
      </c>
      <c r="D27" s="2323"/>
      <c r="E27" s="1429"/>
      <c r="F27" s="1429"/>
      <c r="G27" s="2277"/>
      <c r="H27" s="2277"/>
      <c r="I27" s="2277"/>
      <c r="J27" s="2277"/>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2022</v>
      </c>
      <c r="B28" s="2958"/>
      <c r="C28" s="2326"/>
      <c r="D28" s="2323"/>
      <c r="E28" s="1429"/>
      <c r="F28" s="1429"/>
      <c r="G28" s="2277"/>
      <c r="H28" s="2277"/>
      <c r="I28" s="2277"/>
      <c r="J28" s="2277"/>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2023</v>
      </c>
      <c r="B29" s="120"/>
      <c r="C29" s="1766" t="s">
        <v>2024</v>
      </c>
      <c r="D29" s="2323"/>
      <c r="E29" s="1429"/>
      <c r="F29" s="1429"/>
      <c r="G29" s="2277"/>
      <c r="H29" s="2277"/>
      <c r="I29" s="2277"/>
      <c r="J29" s="2277"/>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2025</v>
      </c>
      <c r="B30" s="723">
        <v>180</v>
      </c>
      <c r="C30" s="2326"/>
      <c r="D30" s="2323"/>
      <c r="E30" s="1429"/>
      <c r="F30" s="1429"/>
      <c r="G30" s="2277"/>
      <c r="H30" s="2277"/>
      <c r="I30" s="2277"/>
      <c r="J30" s="2277"/>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2026</v>
      </c>
      <c r="B31" s="119">
        <f>B30-B32</f>
        <v>180</v>
      </c>
      <c r="C31" s="1766"/>
      <c r="D31" s="2323"/>
      <c r="E31" s="1429"/>
      <c r="F31" s="1429"/>
      <c r="G31" s="2277"/>
      <c r="H31" s="2277"/>
      <c r="I31" s="2277"/>
      <c r="J31" s="2277"/>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2027</v>
      </c>
      <c r="B32" s="724">
        <v>0</v>
      </c>
      <c r="C32" s="2326"/>
      <c r="D32" s="2278"/>
      <c r="E32" s="2277"/>
      <c r="F32" s="2277"/>
      <c r="G32" s="2277"/>
      <c r="H32" s="2277"/>
      <c r="I32" s="2277"/>
      <c r="J32" s="2277"/>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2028</v>
      </c>
      <c r="B33" s="725">
        <v>0.03</v>
      </c>
      <c r="C33" s="1765" t="s">
        <v>2029</v>
      </c>
      <c r="D33" s="2278"/>
      <c r="E33" s="2277"/>
      <c r="F33" s="2277"/>
      <c r="G33" s="2277"/>
      <c r="H33" s="2277"/>
      <c r="I33" s="2277"/>
      <c r="J33" s="2277"/>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2030</v>
      </c>
      <c r="B34" s="121">
        <v>0.02</v>
      </c>
      <c r="C34" s="1765" t="s">
        <v>2031</v>
      </c>
      <c r="D34" s="2278" t="s">
        <v>2032</v>
      </c>
      <c r="E34" s="731"/>
      <c r="F34" s="2277"/>
      <c r="G34" s="2277"/>
      <c r="H34" s="2277"/>
      <c r="I34" s="2277"/>
      <c r="J34" s="2277"/>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2033</v>
      </c>
      <c r="B35" s="118">
        <v>200</v>
      </c>
      <c r="C35" s="1765" t="s">
        <v>2034</v>
      </c>
      <c r="D35" s="2323"/>
      <c r="E35" s="1429"/>
      <c r="F35" s="1429"/>
      <c r="G35" s="2277"/>
      <c r="H35" s="2277"/>
      <c r="I35" s="2277"/>
      <c r="J35" s="2277"/>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2035</v>
      </c>
      <c r="B36" s="122">
        <v>1.4999999999999999E-2</v>
      </c>
      <c r="C36" s="1765" t="s">
        <v>2036</v>
      </c>
      <c r="D36" s="2278"/>
      <c r="E36" s="2277"/>
      <c r="F36" s="2277"/>
      <c r="G36" s="2277"/>
      <c r="H36" s="2277"/>
      <c r="I36" s="2277"/>
      <c r="J36" s="2277"/>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2037</v>
      </c>
      <c r="B37" s="123">
        <v>0.02</v>
      </c>
      <c r="C37" s="1765" t="s">
        <v>2038</v>
      </c>
      <c r="D37" s="2278"/>
      <c r="E37" s="2277"/>
      <c r="F37" s="2277"/>
      <c r="G37" s="2277"/>
      <c r="H37" s="2277"/>
      <c r="I37" s="2277"/>
      <c r="J37" s="2277"/>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2039</v>
      </c>
      <c r="B38" s="121">
        <v>0.02</v>
      </c>
      <c r="C38" s="1765" t="s">
        <v>2038</v>
      </c>
      <c r="D38" s="2278"/>
      <c r="E38" s="2277"/>
      <c r="F38" s="2277"/>
      <c r="G38" s="2277"/>
      <c r="H38" s="2277"/>
      <c r="I38" s="2277"/>
      <c r="J38" s="2277"/>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2040</v>
      </c>
      <c r="B39" s="361">
        <f ca="1">存贷款利率!I1</f>
        <v>1.4999999999999999E-2</v>
      </c>
      <c r="C39" s="1765"/>
      <c r="D39" s="2278"/>
      <c r="E39" s="2277"/>
      <c r="F39" s="2277"/>
      <c r="G39" s="2277"/>
      <c r="H39" s="2277"/>
      <c r="I39" s="2277"/>
      <c r="J39" s="2277"/>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2041</v>
      </c>
      <c r="B40" s="1302">
        <f ca="1">存贷款利率!G1</f>
        <v>4.3499999999999997E-2</v>
      </c>
      <c r="C40" s="1765" t="s">
        <v>2042</v>
      </c>
      <c r="D40" s="1583"/>
      <c r="E40" s="2278"/>
      <c r="F40" s="2277"/>
      <c r="G40" s="2277"/>
      <c r="H40" s="2277"/>
      <c r="I40" s="2277"/>
      <c r="J40" s="2277"/>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2043</v>
      </c>
      <c r="B41" s="124">
        <f>B42+B43</f>
        <v>5.5000000000000007E-2</v>
      </c>
      <c r="C41" s="1766"/>
      <c r="D41" s="1583"/>
      <c r="E41" s="2278"/>
      <c r="F41" s="2277"/>
      <c r="G41" s="2277"/>
      <c r="H41" s="2277"/>
      <c r="I41" s="2277"/>
      <c r="J41" s="2277"/>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2044</v>
      </c>
      <c r="B42" s="125">
        <v>0.05</v>
      </c>
      <c r="C42" s="2331">
        <f>IF(B2&lt;DATE(2016,5,1),0,B42)</f>
        <v>0.05</v>
      </c>
      <c r="D42" s="2278"/>
      <c r="E42" s="2277"/>
      <c r="F42" s="2277"/>
      <c r="G42" s="2277"/>
      <c r="H42" s="2277"/>
      <c r="I42" s="2277"/>
      <c r="J42" s="2277"/>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2045</v>
      </c>
      <c r="B43" s="126">
        <f>B42*(B44+B45+B46)+B47</f>
        <v>5.000000000000001E-3</v>
      </c>
      <c r="C43" s="1766"/>
      <c r="D43" s="2278"/>
      <c r="E43" s="2277"/>
      <c r="F43" s="2277"/>
      <c r="G43" s="2277"/>
      <c r="H43" s="2277"/>
      <c r="I43" s="2277"/>
      <c r="J43" s="2277"/>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2046</v>
      </c>
      <c r="B44" s="127">
        <v>0.05</v>
      </c>
      <c r="C44" s="1765" t="s">
        <v>2047</v>
      </c>
      <c r="D44" s="2278"/>
      <c r="E44" s="2277"/>
      <c r="F44" s="2277"/>
      <c r="G44" s="2277"/>
      <c r="H44" s="2277"/>
      <c r="I44" s="2277"/>
      <c r="J44" s="2277"/>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2048</v>
      </c>
      <c r="B45" s="125">
        <v>0.03</v>
      </c>
      <c r="C45" s="1766" t="s">
        <v>2049</v>
      </c>
      <c r="D45" s="2278"/>
      <c r="E45" s="2277"/>
      <c r="F45" s="2277"/>
      <c r="G45" s="2277"/>
      <c r="H45" s="2277"/>
      <c r="I45" s="2277"/>
      <c r="J45" s="2277"/>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2050</v>
      </c>
      <c r="B46" s="125">
        <v>0.02</v>
      </c>
      <c r="C46" s="1766" t="s">
        <v>2051</v>
      </c>
      <c r="D46" s="2278"/>
      <c r="E46" s="2277"/>
      <c r="F46" s="2277"/>
      <c r="G46" s="2277"/>
      <c r="H46" s="2277"/>
      <c r="I46" s="2277"/>
      <c r="J46" s="2277"/>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2052</v>
      </c>
      <c r="B47" s="128">
        <v>0</v>
      </c>
      <c r="C47" s="1766" t="s">
        <v>2053</v>
      </c>
      <c r="D47" s="2278"/>
      <c r="E47" s="2277"/>
      <c r="F47" s="2277"/>
      <c r="G47" s="2277"/>
      <c r="H47" s="2277"/>
      <c r="I47" s="2277"/>
      <c r="J47" s="2277"/>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2054</v>
      </c>
      <c r="B48" s="129">
        <v>0.03</v>
      </c>
      <c r="C48" s="1773" t="s">
        <v>2055</v>
      </c>
      <c r="D48" s="2278"/>
      <c r="E48" s="2277"/>
      <c r="F48" s="2277"/>
      <c r="G48" s="2277"/>
      <c r="H48" s="2277"/>
      <c r="I48" s="2277"/>
      <c r="J48" s="2277"/>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2056</v>
      </c>
      <c r="B49" s="125">
        <v>5.0000000000000001E-4</v>
      </c>
      <c r="C49" s="1773" t="s">
        <v>2057</v>
      </c>
      <c r="D49" s="2278"/>
      <c r="E49" s="2277"/>
      <c r="F49" s="2277"/>
      <c r="G49" s="2277"/>
      <c r="H49" s="2277"/>
      <c r="I49" s="2277"/>
      <c r="J49" s="2277"/>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2058</v>
      </c>
      <c r="B50" s="130">
        <v>1.2E-2</v>
      </c>
      <c r="C50" s="1429"/>
      <c r="D50" s="2278"/>
      <c r="E50" s="2277"/>
      <c r="F50" s="2277"/>
      <c r="G50" s="2277"/>
      <c r="H50" s="2277"/>
      <c r="I50" s="2277"/>
      <c r="J50" s="2277"/>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2059</v>
      </c>
      <c r="B51" s="131">
        <v>0.12</v>
      </c>
      <c r="C51" s="1429"/>
      <c r="D51" s="2278"/>
      <c r="E51" s="2277"/>
      <c r="F51" s="2277"/>
      <c r="G51" s="2277"/>
      <c r="H51" s="2277"/>
      <c r="I51" s="2277"/>
      <c r="J51" s="2277"/>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2060</v>
      </c>
      <c r="B52" s="132">
        <f>SUMIF(A54:A63,B53,B54:B63)</f>
        <v>3</v>
      </c>
      <c r="C52" s="1429"/>
      <c r="D52" s="2278"/>
      <c r="E52" s="2277"/>
      <c r="F52" s="2277"/>
      <c r="G52" s="2277"/>
      <c r="H52" s="2277"/>
      <c r="I52" s="2277"/>
      <c r="J52" s="2277"/>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2061</v>
      </c>
      <c r="B53" s="2336" t="s">
        <v>523</v>
      </c>
      <c r="C53" s="1429" t="s">
        <v>2062</v>
      </c>
      <c r="D53" s="2337" t="s">
        <v>2063</v>
      </c>
      <c r="E53" s="2277"/>
      <c r="F53" s="2277"/>
      <c r="G53" s="2277"/>
      <c r="H53" s="2277"/>
      <c r="I53" s="2277"/>
      <c r="J53" s="2277"/>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2064</v>
      </c>
      <c r="B54" s="84"/>
      <c r="C54" s="1429">
        <v>30</v>
      </c>
      <c r="D54" s="2278"/>
      <c r="E54" s="2277"/>
      <c r="F54" s="2277"/>
      <c r="G54" s="2277"/>
      <c r="H54" s="2277"/>
      <c r="I54" s="2277"/>
      <c r="J54" s="2277"/>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2065</v>
      </c>
      <c r="B55" s="84"/>
      <c r="C55" s="1429">
        <v>24</v>
      </c>
      <c r="D55" s="2278"/>
      <c r="E55" s="2277"/>
      <c r="F55" s="2277"/>
      <c r="G55" s="2277"/>
      <c r="H55" s="2277"/>
      <c r="I55" s="2339"/>
      <c r="J55" s="2277"/>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2066</v>
      </c>
      <c r="B56" s="84"/>
      <c r="C56" s="1429">
        <v>18</v>
      </c>
      <c r="D56" s="2278"/>
      <c r="E56" s="2277"/>
      <c r="F56" s="2277"/>
      <c r="G56" s="2277"/>
      <c r="H56" s="2277"/>
      <c r="I56" s="2277"/>
      <c r="J56" s="2277"/>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2067</v>
      </c>
      <c r="B57" s="84"/>
      <c r="C57" s="1429">
        <v>12</v>
      </c>
      <c r="D57" s="2278"/>
      <c r="E57" s="2277"/>
      <c r="F57" s="2277"/>
      <c r="G57" s="2277"/>
      <c r="H57" s="2277"/>
      <c r="I57" s="2277"/>
      <c r="J57" s="2277"/>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2068</v>
      </c>
      <c r="B58" s="84">
        <v>3</v>
      </c>
      <c r="C58" s="1429">
        <v>3</v>
      </c>
      <c r="D58" s="2278"/>
      <c r="E58" s="2277"/>
      <c r="F58" s="2277"/>
      <c r="G58" s="2277"/>
      <c r="H58" s="2277"/>
      <c r="I58" s="2277"/>
      <c r="J58" s="2277"/>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2069</v>
      </c>
      <c r="B59" s="84"/>
      <c r="C59" s="1429">
        <v>1.5</v>
      </c>
      <c r="D59" s="2278"/>
      <c r="E59" s="2277"/>
      <c r="F59" s="2277"/>
      <c r="G59" s="2277"/>
      <c r="H59" s="2277"/>
      <c r="I59" s="2277"/>
      <c r="J59" s="2277"/>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2070</v>
      </c>
      <c r="B60" s="84"/>
      <c r="C60" s="2277"/>
      <c r="D60" s="2278"/>
      <c r="E60" s="2277"/>
      <c r="F60" s="2277"/>
      <c r="G60" s="2277"/>
      <c r="H60" s="2277"/>
      <c r="I60" s="2277"/>
      <c r="J60" s="2277"/>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2071</v>
      </c>
      <c r="B61" s="84"/>
      <c r="C61" s="2277"/>
      <c r="D61" s="2278"/>
      <c r="E61" s="2277"/>
      <c r="F61" s="2277"/>
      <c r="G61" s="2277"/>
      <c r="H61" s="2277"/>
      <c r="I61" s="2277"/>
      <c r="J61" s="2277"/>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2072</v>
      </c>
      <c r="B62" s="84"/>
      <c r="C62" s="2277"/>
      <c r="D62" s="2278"/>
      <c r="E62" s="2277"/>
      <c r="F62" s="2277"/>
      <c r="G62" s="2277"/>
      <c r="H62" s="2277"/>
      <c r="I62" s="2277"/>
      <c r="J62" s="2277"/>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2073</v>
      </c>
      <c r="B63" s="133"/>
      <c r="C63" s="2277"/>
      <c r="D63" s="2278"/>
      <c r="E63" s="2277"/>
      <c r="F63" s="2277"/>
      <c r="G63" s="2277"/>
      <c r="H63" s="2277"/>
      <c r="I63" s="2277"/>
      <c r="J63" s="2277"/>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62" t="s">
        <v>2074</v>
      </c>
      <c r="B1" s="3063"/>
      <c r="C1" s="3063"/>
      <c r="D1" s="3063"/>
      <c r="E1" s="3063"/>
      <c r="F1" s="3063"/>
      <c r="G1" s="306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2075</v>
      </c>
      <c r="D2" s="2366"/>
      <c r="E2" s="2367"/>
      <c r="F2" s="2286"/>
      <c r="G2" s="2365" t="s">
        <v>2076</v>
      </c>
      <c r="H2" s="2368"/>
      <c r="I2" s="2368"/>
      <c r="J2" s="2368"/>
      <c r="K2" s="2368"/>
      <c r="L2" s="2368"/>
      <c r="M2" s="2368"/>
      <c r="N2" s="2368"/>
      <c r="O2" s="2368"/>
      <c r="P2" s="2368"/>
      <c r="Q2" s="2368"/>
      <c r="R2" s="2368"/>
    </row>
    <row r="3" spans="1:29" ht="54">
      <c r="A3" s="414" t="s">
        <v>2077</v>
      </c>
      <c r="B3" s="1270" t="s">
        <v>2078</v>
      </c>
      <c r="C3" s="2370" t="s">
        <v>2079</v>
      </c>
      <c r="D3" s="2371"/>
      <c r="E3" s="430" t="s">
        <v>2077</v>
      </c>
      <c r="F3" s="2372" t="s">
        <v>2080</v>
      </c>
      <c r="G3" s="2959" t="s">
        <v>3081</v>
      </c>
      <c r="H3" s="2368"/>
      <c r="I3" s="2368"/>
      <c r="J3" s="2368"/>
      <c r="K3" s="2368"/>
      <c r="L3" s="2368"/>
      <c r="M3" s="2368"/>
      <c r="N3" s="2368"/>
      <c r="O3" s="2368"/>
      <c r="P3" s="2368"/>
      <c r="Q3" s="2368"/>
      <c r="R3" s="2368"/>
    </row>
    <row r="4" spans="1:29" ht="41.25">
      <c r="A4" s="430"/>
      <c r="B4" s="1797" t="s">
        <v>2081</v>
      </c>
      <c r="C4" s="2373" t="s">
        <v>2082</v>
      </c>
      <c r="D4" s="2371"/>
      <c r="E4" s="2374"/>
      <c r="F4" s="42" t="s">
        <v>2083</v>
      </c>
      <c r="G4" s="2960" t="s">
        <v>3083</v>
      </c>
      <c r="H4" s="2368"/>
      <c r="I4" s="2368"/>
      <c r="J4" s="2368"/>
      <c r="K4" s="2368"/>
      <c r="L4" s="2368"/>
      <c r="M4" s="2368"/>
      <c r="N4" s="2368"/>
      <c r="O4" s="2368"/>
      <c r="P4" s="2368"/>
      <c r="Q4" s="2368"/>
      <c r="R4" s="2368"/>
    </row>
    <row r="5" spans="1:29" ht="41.25">
      <c r="A5" s="430"/>
      <c r="B5" s="1797" t="s">
        <v>2085</v>
      </c>
      <c r="C5" s="2373" t="s">
        <v>2086</v>
      </c>
      <c r="D5" s="2371"/>
      <c r="E5" s="2374"/>
      <c r="F5" s="1797" t="s">
        <v>2087</v>
      </c>
      <c r="G5" s="2960" t="s">
        <v>3084</v>
      </c>
      <c r="H5" s="2368"/>
      <c r="I5" s="2368"/>
      <c r="J5" s="2368"/>
      <c r="K5" s="2368"/>
      <c r="L5" s="2368"/>
      <c r="M5" s="2368"/>
      <c r="N5" s="2368"/>
      <c r="O5" s="2368"/>
      <c r="P5" s="2368"/>
      <c r="Q5" s="2368"/>
      <c r="R5" s="2368"/>
    </row>
    <row r="6" spans="1:29" ht="54">
      <c r="A6" s="430"/>
      <c r="B6" s="1797" t="s">
        <v>2089</v>
      </c>
      <c r="C6" s="2375" t="s">
        <v>2084</v>
      </c>
      <c r="D6" s="2371"/>
      <c r="E6" s="2374"/>
      <c r="F6" s="1797" t="s">
        <v>2090</v>
      </c>
      <c r="G6" s="2960" t="s">
        <v>3313</v>
      </c>
      <c r="H6" s="2368"/>
      <c r="I6" s="2368"/>
      <c r="J6" s="2368"/>
      <c r="K6" s="2368"/>
      <c r="L6" s="2368"/>
      <c r="M6" s="2368"/>
      <c r="N6" s="2368"/>
      <c r="O6" s="2368"/>
      <c r="P6" s="2368"/>
      <c r="Q6" s="2368"/>
      <c r="R6" s="2368"/>
    </row>
    <row r="7" spans="1:29" ht="27.75" thickBot="1">
      <c r="A7" s="430"/>
      <c r="B7" s="1797" t="s">
        <v>2087</v>
      </c>
      <c r="C7" s="2375" t="s">
        <v>2088</v>
      </c>
      <c r="D7" s="2376"/>
      <c r="E7" s="2377"/>
      <c r="F7" s="2378" t="s">
        <v>2092</v>
      </c>
      <c r="G7" s="2961" t="s">
        <v>3084</v>
      </c>
      <c r="H7" s="2368"/>
      <c r="I7" s="2368"/>
      <c r="J7" s="2368"/>
      <c r="K7" s="2368"/>
      <c r="L7" s="2368"/>
      <c r="M7" s="2368"/>
      <c r="N7" s="2368"/>
      <c r="O7" s="2368"/>
      <c r="P7" s="2368"/>
      <c r="Q7" s="2368"/>
      <c r="R7" s="2368"/>
    </row>
    <row r="8" spans="1:29" ht="27">
      <c r="A8" s="430"/>
      <c r="B8" s="1797" t="s">
        <v>2090</v>
      </c>
      <c r="C8" s="2375" t="s">
        <v>2091</v>
      </c>
      <c r="D8" s="2376"/>
      <c r="E8" s="2376"/>
      <c r="F8" s="1135"/>
      <c r="G8" s="1135"/>
      <c r="H8" s="2368"/>
      <c r="I8" s="2368"/>
      <c r="J8" s="2368"/>
      <c r="K8" s="2368"/>
      <c r="L8" s="2368"/>
      <c r="M8" s="2368"/>
      <c r="N8" s="2368"/>
      <c r="O8" s="2368"/>
      <c r="P8" s="2368"/>
      <c r="Q8" s="2368"/>
      <c r="R8" s="2368"/>
    </row>
    <row r="9" spans="1:29" ht="27">
      <c r="A9" s="430"/>
      <c r="B9" s="1797" t="s">
        <v>2093</v>
      </c>
      <c r="C9" s="2373" t="s">
        <v>2094</v>
      </c>
      <c r="D9" s="2371"/>
      <c r="E9" s="2376"/>
      <c r="F9" s="1135"/>
      <c r="G9" s="1135"/>
      <c r="H9" s="2368"/>
      <c r="I9" s="2368"/>
      <c r="J9" s="2368"/>
      <c r="K9" s="2368"/>
      <c r="L9" s="2368"/>
      <c r="M9" s="2368"/>
      <c r="N9" s="2368"/>
      <c r="O9" s="2368"/>
      <c r="P9" s="2368"/>
      <c r="Q9" s="2368"/>
      <c r="R9" s="2368"/>
    </row>
    <row r="10" spans="1:29" s="116" customFormat="1" ht="15.75" thickBot="1">
      <c r="A10" s="2379"/>
      <c r="B10" s="2380" t="s">
        <v>2095</v>
      </c>
      <c r="C10" s="2381"/>
      <c r="D10" s="2371"/>
      <c r="E10" s="2371"/>
      <c r="F10" s="1135"/>
      <c r="G10" s="1135"/>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6"/>
      <c r="C11" s="2371"/>
      <c r="D11" s="2371"/>
      <c r="E11" s="2371"/>
      <c r="F11" s="2376"/>
      <c r="G11" s="1153"/>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3"/>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2096</v>
      </c>
      <c r="B13" s="2386"/>
      <c r="C13" s="2386"/>
      <c r="D13" s="2393"/>
      <c r="E13" s="2386"/>
      <c r="F13" s="2386"/>
      <c r="G13" s="2386"/>
    </row>
    <row r="14" spans="1:29" ht="15.75" thickBot="1">
      <c r="A14" s="2397"/>
      <c r="B14" s="2398"/>
      <c r="C14" s="2399" t="s">
        <v>2097</v>
      </c>
      <c r="D14" s="2371"/>
      <c r="E14" s="2400"/>
      <c r="F14" s="2400"/>
      <c r="G14" s="2365" t="s">
        <v>2098</v>
      </c>
    </row>
    <row r="15" spans="1:29" ht="57">
      <c r="A15" s="68" t="s">
        <v>2099</v>
      </c>
      <c r="B15" s="1269" t="s">
        <v>2078</v>
      </c>
      <c r="C15" s="2401" t="str">
        <f>C3</f>
        <v>估价对象周边居住用地比例、居住小区规模和社区发展完善程度，综合评价居住社区成熟度一般</v>
      </c>
      <c r="D15" s="2371"/>
      <c r="E15" s="2402" t="s">
        <v>2100</v>
      </c>
      <c r="F15" s="1269" t="s">
        <v>2101</v>
      </c>
      <c r="G15" s="134" t="str">
        <f>G3</f>
        <v>较好</v>
      </c>
    </row>
    <row r="16" spans="1:29" ht="42.75">
      <c r="A16" s="644"/>
      <c r="B16" s="2403" t="s">
        <v>2081</v>
      </c>
      <c r="C16" s="2404" t="str">
        <f>C4</f>
        <v>估价对象位于XX商圈，周边商业氛围成熟，人流量大，商业繁华度好</v>
      </c>
      <c r="D16" s="2371"/>
      <c r="E16" s="2405"/>
      <c r="F16" s="2406" t="s">
        <v>2083</v>
      </c>
      <c r="G16" s="135" t="str">
        <f>G4</f>
        <v>一般</v>
      </c>
    </row>
    <row r="17" spans="1:18" ht="42.75">
      <c r="A17" s="644"/>
      <c r="B17" s="2403" t="s">
        <v>2085</v>
      </c>
      <c r="C17" s="2404" t="str">
        <f>C5</f>
        <v>估价对象位于XX商圈，周边办公楼项目较多，入驻率高，办公集聚程度较好</v>
      </c>
      <c r="D17" s="2376"/>
      <c r="E17" s="2405"/>
      <c r="F17" s="2406" t="s">
        <v>2102</v>
      </c>
      <c r="G17" s="1571"/>
    </row>
    <row r="18" spans="1:18" ht="57">
      <c r="A18" s="644"/>
      <c r="B18" s="2406" t="s">
        <v>2089</v>
      </c>
      <c r="C18" s="135" t="str">
        <f>C6</f>
        <v>估价对象周边道路状况、公共交通通达情况、停车便捷程度，综合评价交通便捷度较好</v>
      </c>
      <c r="D18" s="2376"/>
      <c r="E18" s="2405"/>
      <c r="F18" s="2406" t="s">
        <v>2092</v>
      </c>
      <c r="G18" s="135" t="str">
        <f>G7</f>
        <v>一般</v>
      </c>
    </row>
    <row r="19" spans="1:18" ht="15">
      <c r="A19" s="644"/>
      <c r="B19" s="2406" t="s">
        <v>2103</v>
      </c>
      <c r="C19" s="1571"/>
      <c r="D19" s="2371"/>
      <c r="E19" s="2405"/>
      <c r="F19" s="1797" t="s">
        <v>2087</v>
      </c>
      <c r="G19" s="135" t="str">
        <f>G5</f>
        <v>一般</v>
      </c>
    </row>
    <row r="20" spans="1:18" ht="28.5">
      <c r="A20" s="644"/>
      <c r="B20" s="2406" t="s">
        <v>2104</v>
      </c>
      <c r="C20" s="2404" t="str">
        <f>C9</f>
        <v>区域自然环境：；人文环境；综合评价环境状况一般</v>
      </c>
      <c r="D20" s="2376"/>
      <c r="E20" s="2405"/>
      <c r="F20" s="1797" t="s">
        <v>2105</v>
      </c>
      <c r="G20" s="135" t="str">
        <f>G6</f>
        <v>五通</v>
      </c>
    </row>
    <row r="21" spans="1:18" ht="28.5">
      <c r="A21" s="644"/>
      <c r="B21" s="1797" t="s">
        <v>2087</v>
      </c>
      <c r="C21" s="135" t="str">
        <f>C7</f>
        <v>估价对象所在区域公共配套设施齐备情况</v>
      </c>
      <c r="D21" s="2371"/>
      <c r="E21" s="2405"/>
      <c r="F21" s="2406" t="s">
        <v>2106</v>
      </c>
      <c r="G21" s="2407"/>
    </row>
    <row r="22" spans="1:18" ht="13.5" customHeight="1">
      <c r="A22" s="644"/>
      <c r="B22" s="1797" t="s">
        <v>2090</v>
      </c>
      <c r="C22" s="135" t="str">
        <f>C8</f>
        <v>估价对象所在区域基础设施水平</v>
      </c>
      <c r="D22" s="2371"/>
      <c r="E22" s="2405"/>
      <c r="F22" s="2406" t="s">
        <v>2095</v>
      </c>
      <c r="G22" s="1571"/>
    </row>
    <row r="23" spans="1:18" s="2368" customFormat="1" ht="15.75" thickBot="1">
      <c r="A23" s="644"/>
      <c r="B23" s="2406" t="s">
        <v>2106</v>
      </c>
      <c r="C23" s="2407"/>
      <c r="D23" s="2394"/>
      <c r="E23" s="2408"/>
      <c r="F23" s="2409" t="s">
        <v>2107</v>
      </c>
      <c r="G23" s="2410"/>
      <c r="H23" s="2394"/>
      <c r="I23" s="2395"/>
      <c r="J23" s="2394"/>
      <c r="K23" s="2394"/>
      <c r="L23" s="2395"/>
      <c r="M23" s="2394"/>
      <c r="N23" s="2394"/>
      <c r="O23" s="2395"/>
      <c r="P23" s="2394"/>
      <c r="Q23" s="2394"/>
      <c r="R23" s="2396"/>
    </row>
    <row r="24" spans="1:18" s="2368" customFormat="1" ht="15.75" thickBot="1">
      <c r="A24" s="2411"/>
      <c r="B24" s="2409" t="s">
        <v>2108</v>
      </c>
      <c r="C24" s="136">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9" sqref="E9"/>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59232</v>
      </c>
      <c r="C1" s="1744"/>
      <c r="D1" s="1744"/>
      <c r="E1" s="1744"/>
      <c r="F1" s="1744"/>
      <c r="G1" s="1742"/>
    </row>
    <row r="2" spans="1:10" ht="16.5">
      <c r="A2" s="1745" t="s">
        <v>1349</v>
      </c>
      <c r="B2" s="1745">
        <f>SUM(C14:C23)</f>
        <v>74308.399999999994</v>
      </c>
      <c r="C2" s="1744"/>
      <c r="D2" s="1744"/>
      <c r="E2" s="1744"/>
      <c r="F2" s="1744"/>
      <c r="G2" s="1742"/>
    </row>
    <row r="3" spans="1:10" ht="16.5">
      <c r="A3" s="1745" t="s">
        <v>1358</v>
      </c>
      <c r="B3" s="1746">
        <f>项目基本情况!D3</f>
        <v>43487</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7680</v>
      </c>
      <c r="C5" s="1745">
        <f ca="1">ROUND(B5*10000/$B$1,0)</f>
        <v>1297</v>
      </c>
      <c r="D5" s="1745">
        <f ca="1">ROUND(B5*10000/$B$2,0)</f>
        <v>1034</v>
      </c>
      <c r="E5" s="1744"/>
      <c r="F5" s="1742"/>
      <c r="G5" s="1742"/>
    </row>
    <row r="6" spans="1:10" ht="16.5">
      <c r="A6" s="1745" t="s">
        <v>1352</v>
      </c>
      <c r="B6" s="1745">
        <f ca="1">SUM(G14:G23)</f>
        <v>7680</v>
      </c>
      <c r="C6" s="1745">
        <f ca="1">ROUND(B6*10000/$B$1,0)</f>
        <v>1297</v>
      </c>
      <c r="D6" s="1745">
        <f ca="1">ROUND(B6*10000/$B$2,0)</f>
        <v>1034</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17987.810000000001</v>
      </c>
      <c r="C14" s="1743">
        <f>结果表!C118</f>
        <v>25697.15</v>
      </c>
      <c r="D14" s="1743">
        <f ca="1">结果表!H118</f>
        <v>5336</v>
      </c>
      <c r="E14" s="1743">
        <f ca="1">ROUND(D14*10000/B14,0)</f>
        <v>2966</v>
      </c>
      <c r="F14" s="1743">
        <f ca="1">ROUND(D14*10000/C14,0)</f>
        <v>2076</v>
      </c>
      <c r="G14" s="1743">
        <f ca="1">结果表!D122</f>
        <v>5336</v>
      </c>
      <c r="H14" s="1743" t="str">
        <f>结果表!D124</f>
        <v>——</v>
      </c>
      <c r="I14" s="1743" t="str">
        <f>结果表!D126</f>
        <v>——</v>
      </c>
      <c r="J14" s="1742"/>
    </row>
    <row r="15" spans="1:10" ht="16.5">
      <c r="A15" s="1741" t="s">
        <v>1345</v>
      </c>
      <c r="B15" s="2970">
        <f>[1]系统读取表!B14</f>
        <v>17189.189999999999</v>
      </c>
      <c r="C15" s="2970">
        <f>[1]系统读取表!C14</f>
        <v>24556.25</v>
      </c>
      <c r="D15" s="2970">
        <f>[1]系统读取表!D14</f>
        <v>1022</v>
      </c>
      <c r="E15" s="1743">
        <f t="shared" ref="E15:E23" si="0">ROUND(D15*10000/B15,0)</f>
        <v>595</v>
      </c>
      <c r="F15" s="1743">
        <f t="shared" ref="F15:F23" si="1">ROUND(D15*10000/C15,0)</f>
        <v>416</v>
      </c>
      <c r="G15" s="2970">
        <f>[1]系统读取表!G14</f>
        <v>1022</v>
      </c>
      <c r="H15" s="2970" t="str">
        <f>[1]系统读取表!H14</f>
        <v>——</v>
      </c>
      <c r="I15" s="2970" t="str">
        <f>[1]系统读取表!I14</f>
        <v>——</v>
      </c>
      <c r="J15" s="1742"/>
    </row>
    <row r="16" spans="1:10" ht="16.5">
      <c r="A16" s="1741" t="s">
        <v>1344</v>
      </c>
      <c r="B16" s="2970">
        <f>[2]系统读取表!B14</f>
        <v>24055</v>
      </c>
      <c r="C16" s="2970">
        <f>[2]系统读取表!C14</f>
        <v>24055</v>
      </c>
      <c r="D16" s="2970">
        <f ca="1">[2]系统读取表!D14</f>
        <v>1322</v>
      </c>
      <c r="E16" s="1743">
        <f t="shared" ca="1" si="0"/>
        <v>550</v>
      </c>
      <c r="F16" s="1743">
        <f t="shared" ca="1" si="1"/>
        <v>550</v>
      </c>
      <c r="G16" s="2970">
        <f ca="1">[2]系统读取表!G14</f>
        <v>1322</v>
      </c>
      <c r="H16" s="2970" t="str">
        <f>[2]系统读取表!H14</f>
        <v>——</v>
      </c>
      <c r="I16" s="2970" t="str">
        <f>[2]系统读取表!I14</f>
        <v>——</v>
      </c>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K118" sqref="K118"/>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5" t="s">
        <v>2109</v>
      </c>
      <c r="B1" s="2417"/>
      <c r="C1" s="2418"/>
      <c r="D1" s="2417"/>
      <c r="E1" s="2417"/>
      <c r="F1" s="2419" t="s">
        <v>2110</v>
      </c>
      <c r="G1" s="2070" t="s">
        <v>3061</v>
      </c>
      <c r="H1" s="2420" t="str">
        <f>IF(G1="现房","——","估价对象范围")</f>
        <v>——</v>
      </c>
      <c r="I1" s="2421" t="s">
        <v>3321</v>
      </c>
    </row>
    <row r="2" spans="1:12" ht="21.75" customHeight="1" thickBot="1">
      <c r="A2" s="3097" t="str">
        <f>项目基本情况!S2</f>
        <v>河北省保定市定兴县新107国道东侧房地产</v>
      </c>
      <c r="B2" s="3098"/>
      <c r="C2" s="3098"/>
      <c r="D2" s="3098"/>
      <c r="E2" s="3098"/>
      <c r="F2" s="3098"/>
      <c r="G2" s="3098"/>
      <c r="H2" s="3098"/>
      <c r="I2" s="3099"/>
    </row>
    <row r="3" spans="1:12" ht="12.75">
      <c r="A3" s="3101" t="s">
        <v>2111</v>
      </c>
      <c r="B3" s="3102"/>
      <c r="C3" s="3102"/>
      <c r="D3" s="3102"/>
      <c r="E3" s="3102"/>
      <c r="F3" s="3102"/>
      <c r="G3" s="3102"/>
      <c r="H3" s="3102"/>
      <c r="I3" s="3102"/>
    </row>
    <row r="4" spans="1:12" ht="14.25">
      <c r="A4" s="2424" t="s">
        <v>2112</v>
      </c>
      <c r="B4" s="2425" t="s">
        <v>2113</v>
      </c>
      <c r="C4" s="2426" t="s">
        <v>3316</v>
      </c>
      <c r="D4" s="2426" t="s">
        <v>3079</v>
      </c>
      <c r="E4" s="3094" t="s">
        <v>2114</v>
      </c>
      <c r="F4" s="3095"/>
      <c r="G4" s="3095"/>
      <c r="H4" s="3095"/>
      <c r="I4" s="3103"/>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77" t="s">
        <v>2115</v>
      </c>
      <c r="B5" s="3015">
        <v>25</v>
      </c>
      <c r="C5" s="3080"/>
      <c r="D5" s="3100"/>
      <c r="E5" s="139" t="s">
        <v>2116</v>
      </c>
      <c r="F5" s="2428"/>
      <c r="G5" s="2428"/>
      <c r="H5" s="2428"/>
      <c r="I5" s="1833"/>
    </row>
    <row r="6" spans="1:12" ht="12.75">
      <c r="A6" s="3077"/>
      <c r="B6" s="3015"/>
      <c r="C6" s="3081"/>
      <c r="D6" s="3100"/>
      <c r="E6" s="139" t="s">
        <v>2117</v>
      </c>
      <c r="F6" s="2428"/>
      <c r="G6" s="2428"/>
      <c r="H6" s="2428"/>
      <c r="I6" s="1833"/>
    </row>
    <row r="7" spans="1:12" ht="12.75">
      <c r="A7" s="3077"/>
      <c r="B7" s="3015"/>
      <c r="C7" s="3082"/>
      <c r="D7" s="3100"/>
      <c r="E7" s="139" t="s">
        <v>2118</v>
      </c>
      <c r="F7" s="2428"/>
      <c r="G7" s="2428"/>
      <c r="H7" s="2428"/>
      <c r="I7" s="1833"/>
    </row>
    <row r="8" spans="1:12" ht="12.75">
      <c r="A8" s="3077" t="s">
        <v>2119</v>
      </c>
      <c r="B8" s="3015">
        <v>15</v>
      </c>
      <c r="C8" s="3080"/>
      <c r="D8" s="3100"/>
      <c r="E8" s="139" t="s">
        <v>2120</v>
      </c>
      <c r="F8" s="2428"/>
      <c r="G8" s="2428"/>
      <c r="H8" s="2428"/>
      <c r="I8" s="1833"/>
    </row>
    <row r="9" spans="1:12" ht="12.75">
      <c r="A9" s="3077"/>
      <c r="B9" s="3015"/>
      <c r="C9" s="3082"/>
      <c r="D9" s="3100"/>
      <c r="E9" s="139" t="s">
        <v>2121</v>
      </c>
      <c r="F9" s="2428"/>
      <c r="G9" s="2428"/>
      <c r="H9" s="2428"/>
      <c r="I9" s="1833"/>
    </row>
    <row r="10" spans="1:12" ht="12.75">
      <c r="A10" s="3077" t="s">
        <v>2122</v>
      </c>
      <c r="B10" s="3015">
        <v>15</v>
      </c>
      <c r="C10" s="3080"/>
      <c r="D10" s="3100"/>
      <c r="E10" s="139" t="s">
        <v>2123</v>
      </c>
      <c r="F10" s="2428"/>
      <c r="G10" s="2428"/>
      <c r="H10" s="2428"/>
      <c r="I10" s="1833"/>
    </row>
    <row r="11" spans="1:12" ht="12.75">
      <c r="A11" s="3077"/>
      <c r="B11" s="3015"/>
      <c r="C11" s="3082"/>
      <c r="D11" s="3100"/>
      <c r="E11" s="139" t="s">
        <v>2124</v>
      </c>
      <c r="F11" s="2428"/>
      <c r="G11" s="2428"/>
      <c r="H11" s="2428"/>
      <c r="I11" s="1833"/>
    </row>
    <row r="12" spans="1:12" ht="12.75">
      <c r="A12" s="3077" t="s">
        <v>2125</v>
      </c>
      <c r="B12" s="3015">
        <v>15</v>
      </c>
      <c r="C12" s="3080"/>
      <c r="D12" s="3100"/>
      <c r="E12" s="139" t="s">
        <v>2126</v>
      </c>
      <c r="F12" s="2428"/>
      <c r="G12" s="2428"/>
      <c r="H12" s="2428"/>
      <c r="I12" s="1833"/>
    </row>
    <row r="13" spans="1:12" ht="12.75">
      <c r="A13" s="3077"/>
      <c r="B13" s="3015"/>
      <c r="C13" s="3082"/>
      <c r="D13" s="3100"/>
      <c r="E13" s="139" t="s">
        <v>2127</v>
      </c>
      <c r="F13" s="2428"/>
      <c r="G13" s="2428"/>
      <c r="H13" s="2428"/>
      <c r="I13" s="1833"/>
    </row>
    <row r="14" spans="1:12" ht="12.75">
      <c r="A14" s="3077" t="s">
        <v>2128</v>
      </c>
      <c r="B14" s="3015">
        <v>30</v>
      </c>
      <c r="C14" s="3080">
        <v>5</v>
      </c>
      <c r="D14" s="3100">
        <v>5</v>
      </c>
      <c r="E14" s="139" t="s">
        <v>2129</v>
      </c>
      <c r="F14" s="2428"/>
      <c r="G14" s="2428"/>
      <c r="H14" s="2428"/>
      <c r="I14" s="1833"/>
    </row>
    <row r="15" spans="1:12" ht="12.75">
      <c r="A15" s="3077"/>
      <c r="B15" s="3015"/>
      <c r="C15" s="3081"/>
      <c r="D15" s="3100"/>
      <c r="E15" s="139" t="s">
        <v>2130</v>
      </c>
      <c r="F15" s="2428"/>
      <c r="G15" s="2428"/>
      <c r="H15" s="2428"/>
      <c r="I15" s="1833"/>
    </row>
    <row r="16" spans="1:12" ht="12.75">
      <c r="A16" s="3077"/>
      <c r="B16" s="3015"/>
      <c r="C16" s="3082"/>
      <c r="D16" s="3100"/>
      <c r="E16" s="139" t="s">
        <v>2131</v>
      </c>
      <c r="F16" s="2428"/>
      <c r="G16" s="2428"/>
      <c r="H16" s="2428"/>
      <c r="I16" s="1833"/>
    </row>
    <row r="17" spans="1:35" ht="15">
      <c r="A17" s="2429" t="s">
        <v>2132</v>
      </c>
      <c r="B17" s="64"/>
      <c r="C17" s="140">
        <f>SUM(C5:C16)</f>
        <v>5</v>
      </c>
      <c r="D17" s="140">
        <f>SUM(D5:D16)</f>
        <v>5</v>
      </c>
      <c r="E17" s="137"/>
      <c r="F17" s="137"/>
      <c r="G17" s="137"/>
      <c r="H17" s="137"/>
      <c r="I17" s="137"/>
      <c r="K17" s="2427"/>
      <c r="L17" s="2430" t="s">
        <v>2133</v>
      </c>
      <c r="M17" s="2430" t="s">
        <v>2134</v>
      </c>
    </row>
    <row r="18" spans="1:35" ht="15.75" thickBot="1">
      <c r="A18" s="2431" t="s">
        <v>2135</v>
      </c>
      <c r="B18" s="2432"/>
      <c r="C18" s="141">
        <f>ROUND(C17/SUM(C17:D17),2)</f>
        <v>0.5</v>
      </c>
      <c r="D18" s="141">
        <f>1-C18</f>
        <v>0.5</v>
      </c>
      <c r="E18" s="137"/>
      <c r="F18" s="137"/>
      <c r="G18" s="137"/>
      <c r="H18" s="137"/>
      <c r="I18" s="137"/>
      <c r="K18" s="2427" t="s">
        <v>2136</v>
      </c>
      <c r="L18" s="2427">
        <f>IF(C1="",'数据-汇总表'!E3,SUMIF(项目类型,C1,'数据-汇总表'!E17:E26)+SUMIF(项目类型,C1,'数据-汇总表'!I17:I26))</f>
        <v>17987.810000000001</v>
      </c>
      <c r="M18" s="2427">
        <f>IF(C1="",'数据-汇总表'!E3,SUMIF(项目类型,C1,'数据-汇总表'!E17:E26))</f>
        <v>17987.810000000001</v>
      </c>
    </row>
    <row r="19" spans="1:35" ht="15">
      <c r="A19" s="2433" t="s">
        <v>2137</v>
      </c>
      <c r="B19" s="2434" t="s">
        <v>2138</v>
      </c>
      <c r="C19" s="142">
        <f ca="1">SUMIF(INDIRECT("'"&amp;C4&amp;"'"&amp;"!A:A"),结果表!B19,INDIRECT("'"&amp;C4&amp;"'"&amp;"!B:B"))</f>
        <v>5240</v>
      </c>
      <c r="D19" s="143">
        <f ca="1">SUMIF(INDIRECT("'"&amp;D4&amp;"'"&amp;"!A:A"),结果表!B19,INDIRECT("'"&amp;D4&amp;"'"&amp;"!B:B"))</f>
        <v>5431</v>
      </c>
      <c r="E19" s="2433" t="s">
        <v>2139</v>
      </c>
      <c r="F19" s="2434" t="s">
        <v>2138</v>
      </c>
      <c r="G19" s="144">
        <f ca="1">ROUND(C19*$C$18+D19*$D$18,0)</f>
        <v>5336</v>
      </c>
      <c r="H19" s="2435" t="s">
        <v>2140</v>
      </c>
      <c r="I19" s="137"/>
      <c r="K19" s="2427" t="s">
        <v>2141</v>
      </c>
      <c r="L19" s="2427">
        <f>IF(C1="",'数据-汇总表'!D3,SUMIF(项目类型,C1,'数据-汇总表'!D17:D26)+SUMIF(项目类型,C1,'数据-汇总表'!H17:H27))</f>
        <v>25697.15</v>
      </c>
      <c r="M19" s="2427">
        <f>IF(C1="",'数据-汇总表'!D3,SUMIF(项目类型,C1,'数据-汇总表'!D17:D26))</f>
        <v>25697.15</v>
      </c>
    </row>
    <row r="20" spans="1:35" ht="15">
      <c r="A20" s="2436"/>
      <c r="B20" s="1249" t="s">
        <v>2142</v>
      </c>
      <c r="C20" s="145">
        <f ca="1">SUMIF(INDIRECT("'"&amp;C4&amp;"'"&amp;"!A:A"),结果表!B20,INDIRECT("'"&amp;C4&amp;"'"&amp;"!B:B"))</f>
        <v>2913</v>
      </c>
      <c r="D20" s="146">
        <f ca="1">SUMIF(INDIRECT("'"&amp;D4&amp;"'"&amp;"!A:A"),结果表!B20,INDIRECT("'"&amp;D4&amp;"'"&amp;"!B:B"))</f>
        <v>3019</v>
      </c>
      <c r="E20" s="2436"/>
      <c r="F20" s="1249" t="s">
        <v>2142</v>
      </c>
      <c r="G20" s="147">
        <f ca="1">ROUND(C20*$C$18+D20*$D$18,0)</f>
        <v>2966</v>
      </c>
      <c r="H20" s="982" t="s">
        <v>2143</v>
      </c>
      <c r="I20" s="137"/>
    </row>
    <row r="21" spans="1:35" ht="15" customHeight="1" thickBot="1">
      <c r="A21" s="1002"/>
      <c r="B21" s="2437" t="s">
        <v>2144</v>
      </c>
      <c r="C21" s="788">
        <f ca="1">ROUND(C19*10000/L19,0)</f>
        <v>2039</v>
      </c>
      <c r="D21" s="789">
        <f ca="1">ROUND(D19*10000/L19,0)</f>
        <v>2113</v>
      </c>
      <c r="E21" s="1002"/>
      <c r="F21" s="2437" t="s">
        <v>2144</v>
      </c>
      <c r="G21" s="148">
        <f ca="1">ROUND(G19*10000/L19,0)</f>
        <v>2076</v>
      </c>
      <c r="H21" s="2438" t="s">
        <v>2143</v>
      </c>
      <c r="I21" s="137"/>
    </row>
    <row r="22" spans="1:35" ht="15" thickBot="1">
      <c r="A22" s="2281" t="s">
        <v>2145</v>
      </c>
      <c r="B22" s="2439"/>
      <c r="C22" s="2440"/>
      <c r="D22" s="790">
        <f ca="1">IF(C19&lt;D19,D19/C19-1,C19/D19-1)</f>
        <v>3.6450381679389299E-2</v>
      </c>
      <c r="E22" s="137"/>
      <c r="F22" s="137"/>
      <c r="G22" s="137"/>
      <c r="H22" s="137"/>
      <c r="I22" s="137"/>
    </row>
    <row r="23" spans="1:35" ht="13.5" thickBot="1">
      <c r="A23" s="2417"/>
      <c r="B23" s="2417"/>
      <c r="C23" s="2417"/>
      <c r="D23" s="2417"/>
      <c r="E23" s="137"/>
      <c r="F23" s="137"/>
      <c r="G23" s="137"/>
      <c r="H23" s="137"/>
      <c r="I23" s="137"/>
    </row>
    <row r="24" spans="1:35" ht="14.25">
      <c r="A24" s="3071" t="s">
        <v>2146</v>
      </c>
      <c r="B24" s="2434" t="s">
        <v>2138</v>
      </c>
      <c r="C24" s="144">
        <f>IF(B30=0,0,D30)</f>
        <v>0</v>
      </c>
      <c r="D24" s="2441"/>
      <c r="E24" s="137"/>
      <c r="F24" s="137"/>
      <c r="G24" s="137"/>
      <c r="H24" s="137"/>
      <c r="I24" s="137"/>
    </row>
    <row r="25" spans="1:35" ht="14.25">
      <c r="A25" s="3072"/>
      <c r="B25" s="1249" t="s">
        <v>2142</v>
      </c>
      <c r="C25" s="149">
        <f>IF(B30=0,0,C30)</f>
        <v>0</v>
      </c>
      <c r="D25" s="2442"/>
      <c r="E25" s="137"/>
      <c r="F25" s="137"/>
      <c r="G25" s="137"/>
      <c r="H25" s="137"/>
      <c r="I25" s="137"/>
    </row>
    <row r="26" spans="1:35" ht="13.5" customHeight="1">
      <c r="A26" s="2443" t="s">
        <v>2147</v>
      </c>
      <c r="B26" s="150" t="s">
        <v>2148</v>
      </c>
      <c r="C26" s="150" t="s">
        <v>2149</v>
      </c>
      <c r="D26" s="151" t="s">
        <v>2150</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2151</v>
      </c>
      <c r="B30" s="150"/>
      <c r="C30" s="150"/>
      <c r="D30" s="150"/>
      <c r="E30" s="2926" t="s">
        <v>3029</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2152</v>
      </c>
      <c r="B32" s="2447"/>
      <c r="C32" s="152">
        <f ca="1">IF(D32="总价",G19-C24,G20-C25)</f>
        <v>5336</v>
      </c>
      <c r="D32" s="2448" t="s">
        <v>2153</v>
      </c>
      <c r="E32" s="137"/>
      <c r="F32" s="137"/>
      <c r="G32" s="137"/>
      <c r="H32" s="137"/>
      <c r="I32" s="137"/>
    </row>
    <row r="33" spans="1:15" ht="15">
      <c r="A33" s="959" t="s">
        <v>2154</v>
      </c>
      <c r="B33" s="2449"/>
      <c r="C33" s="2450" t="s">
        <v>3322</v>
      </c>
      <c r="D33" s="2451" t="s">
        <v>3316</v>
      </c>
      <c r="E33" s="2452" t="s">
        <v>2155</v>
      </c>
      <c r="F33" s="2453" t="str">
        <f>IF(D32="楼面单价","取值（单价）","取值（总价）")</f>
        <v>取值（总价）</v>
      </c>
      <c r="G33" s="137"/>
      <c r="H33" s="137"/>
      <c r="I33" s="137"/>
    </row>
    <row r="34" spans="1:15" ht="15">
      <c r="A34" s="2454"/>
      <c r="B34" s="2455" t="s">
        <v>2156</v>
      </c>
      <c r="C34" s="156">
        <f ca="1">IF(C33="自定义",F34,C32-C35)</f>
        <v>1371</v>
      </c>
      <c r="D34" s="1057">
        <f ca="1">IF(C33="自定义",ROUND(C34/C32,3),IF(C33="收益比率",SUMIF(INDIRECT("'"&amp;D33&amp;"'"&amp;"!b:b"),"土地收益比率",INDIRECT("'"&amp;D33&amp;"'"&amp;"!c:c")),SUMIF(INDIRECT("'"&amp;D33&amp;"'"&amp;"!b:b"),"土地成本比率",INDIRECT("'"&amp;D33&amp;"'"&amp;"!c:c"))))</f>
        <v>0.25700000000000001</v>
      </c>
      <c r="E34" s="2456" t="s">
        <v>2157</v>
      </c>
      <c r="F34" s="1738"/>
      <c r="G34" s="137"/>
      <c r="H34" s="137"/>
      <c r="I34" s="137"/>
    </row>
    <row r="35" spans="1:15" ht="15.75" thickBot="1">
      <c r="A35" s="2457"/>
      <c r="B35" s="2458" t="s">
        <v>2158</v>
      </c>
      <c r="C35" s="1443">
        <f ca="1">IF(C33="自定义",F35,ROUND(C32*D35,0))</f>
        <v>3965</v>
      </c>
      <c r="D35" s="1444">
        <f ca="1">IF(C33="自定义",ROUND(C35/C32,3),IF(C33="收益比率",SUMIF(INDIRECT("'"&amp;D33&amp;"'"&amp;"!b:b"),"建筑物收益比率",INDIRECT("'"&amp;D33&amp;"'"&amp;"!c:c")),SUMIF(INDIRECT("'"&amp;D33&amp;"'"&amp;"!b:b"),"建筑物成本比率",INDIRECT("'"&amp;D33&amp;"'"&amp;"!c:c"))))</f>
        <v>0.74299999999999999</v>
      </c>
      <c r="E35" s="2459" t="s">
        <v>2159</v>
      </c>
      <c r="F35" s="162"/>
      <c r="G35" s="137"/>
      <c r="H35" s="137"/>
      <c r="I35" s="137"/>
    </row>
    <row r="36" spans="1:15" ht="15.75" thickBot="1">
      <c r="A36" s="3089" t="s">
        <v>2160</v>
      </c>
      <c r="B36" s="2460" t="s">
        <v>2161</v>
      </c>
      <c r="C36" s="153"/>
      <c r="D36" s="2461"/>
      <c r="E36" s="2462"/>
      <c r="F36" s="2463"/>
      <c r="G36" s="137"/>
      <c r="H36" s="137"/>
      <c r="I36" s="137"/>
    </row>
    <row r="37" spans="1:15" ht="15.75" thickBot="1">
      <c r="A37" s="3090"/>
      <c r="B37" s="2267" t="s">
        <v>2162</v>
      </c>
      <c r="C37" s="155"/>
      <c r="D37" s="1394"/>
      <c r="E37" s="1394"/>
      <c r="F37" s="2463"/>
      <c r="G37" s="137"/>
      <c r="H37" s="137"/>
      <c r="I37" s="137"/>
    </row>
    <row r="38" spans="1:15" ht="15.75" thickBot="1">
      <c r="A38" s="3091"/>
      <c r="B38" s="2464" t="s">
        <v>2163</v>
      </c>
      <c r="C38" s="726"/>
      <c r="D38" s="2465" t="s">
        <v>2164</v>
      </c>
      <c r="E38" s="1394"/>
      <c r="F38" s="2463"/>
      <c r="G38" s="137"/>
      <c r="H38" s="137"/>
      <c r="I38" s="137"/>
    </row>
    <row r="39" spans="1:15" ht="15">
      <c r="A39" s="2436" t="s">
        <v>2165</v>
      </c>
      <c r="B39" s="2466" t="s">
        <v>2166</v>
      </c>
      <c r="C39" s="2467" t="s">
        <v>2167</v>
      </c>
      <c r="D39" s="2467" t="s">
        <v>2168</v>
      </c>
      <c r="E39" s="2468" t="s">
        <v>2169</v>
      </c>
      <c r="F39" s="2463"/>
      <c r="G39" s="137"/>
      <c r="H39" s="137"/>
      <c r="I39" s="137"/>
    </row>
    <row r="40" spans="1:15" ht="14.25">
      <c r="A40" s="2469" t="s">
        <v>2170</v>
      </c>
      <c r="B40" s="157"/>
      <c r="C40" s="158"/>
      <c r="D40" s="158"/>
      <c r="E40" s="159"/>
      <c r="F40" s="2463"/>
      <c r="G40" s="137"/>
      <c r="H40" s="137"/>
      <c r="I40" s="137"/>
    </row>
    <row r="41" spans="1:15" ht="14.25">
      <c r="A41" s="2469" t="s">
        <v>2171</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5"/>
      <c r="B43" s="2165"/>
      <c r="C43" s="2165"/>
      <c r="D43" s="2165"/>
      <c r="E43" s="2165"/>
      <c r="F43" s="2471"/>
      <c r="G43" s="2471"/>
      <c r="H43" s="2471"/>
      <c r="I43" s="2472"/>
    </row>
    <row r="44" spans="1:15" ht="18.75">
      <c r="A44" s="2473" t="s">
        <v>2172</v>
      </c>
      <c r="B44" s="2474"/>
      <c r="C44" s="2474"/>
      <c r="D44" s="2475"/>
      <c r="E44" s="2475"/>
      <c r="F44" s="2476"/>
      <c r="G44" s="2476"/>
      <c r="H44" s="2476"/>
      <c r="I44" s="2476"/>
      <c r="J44" s="2477" t="s">
        <v>2173</v>
      </c>
      <c r="K44" s="2478"/>
      <c r="L44" s="2478"/>
      <c r="M44" s="2478"/>
      <c r="N44" s="2478"/>
      <c r="O44" s="2478"/>
    </row>
    <row r="45" spans="1:15" ht="14.25" customHeight="1" thickBot="1">
      <c r="A45" s="3068" t="s">
        <v>2174</v>
      </c>
      <c r="B45" s="3069"/>
      <c r="C45" s="3070"/>
      <c r="D45" s="163">
        <f ca="1">ROUND(H101*F45,0)</f>
        <v>5336</v>
      </c>
      <c r="E45" s="164" t="s">
        <v>2175</v>
      </c>
      <c r="F45" s="165">
        <v>1</v>
      </c>
      <c r="G45" s="166" t="s">
        <v>2176</v>
      </c>
      <c r="H45" s="137"/>
      <c r="I45" s="137"/>
      <c r="J45" s="3128" t="s">
        <v>2177</v>
      </c>
      <c r="K45" s="3128"/>
      <c r="L45" s="3128"/>
      <c r="M45" s="3128"/>
      <c r="N45" s="3128"/>
      <c r="O45" s="3128"/>
    </row>
    <row r="46" spans="1:15" ht="14.25" customHeight="1">
      <c r="A46" s="3065" t="s">
        <v>2178</v>
      </c>
      <c r="B46" s="3066"/>
      <c r="C46" s="3066"/>
      <c r="D46" s="3066"/>
      <c r="E46" s="3066"/>
      <c r="F46" s="3066"/>
      <c r="G46" s="3067"/>
      <c r="H46" s="2479"/>
      <c r="I46" s="167"/>
      <c r="J46" s="1811">
        <v>1</v>
      </c>
      <c r="K46" s="3128" t="s">
        <v>2179</v>
      </c>
      <c r="L46" s="3128"/>
      <c r="M46" s="3148"/>
      <c r="N46" s="3148"/>
      <c r="O46" s="3148"/>
    </row>
    <row r="47" spans="1:15" ht="12" customHeight="1">
      <c r="A47" s="168" t="s">
        <v>2180</v>
      </c>
      <c r="B47" s="169"/>
      <c r="C47" s="170"/>
      <c r="D47" s="171" t="s">
        <v>2181</v>
      </c>
      <c r="E47" s="24" t="s">
        <v>2182</v>
      </c>
      <c r="F47" s="172" t="s">
        <v>2183</v>
      </c>
      <c r="G47" s="173" t="s">
        <v>2184</v>
      </c>
      <c r="H47" s="2479"/>
      <c r="I47" s="167"/>
      <c r="J47" s="1811">
        <v>2</v>
      </c>
      <c r="K47" s="3128" t="s">
        <v>2185</v>
      </c>
      <c r="L47" s="3128"/>
      <c r="M47" s="3149">
        <f>'数据-取费表'!B2</f>
        <v>43487</v>
      </c>
      <c r="N47" s="3149"/>
      <c r="O47" s="3149"/>
    </row>
    <row r="48" spans="1:15" ht="25.5">
      <c r="A48" s="3096" t="s">
        <v>2186</v>
      </c>
      <c r="B48" s="3079"/>
      <c r="C48" s="3079"/>
      <c r="D48" s="139">
        <f>IF(H48="情况1",0,IF(H48="情况2",D52,IF(H48="情况3",D53,IF(H48="情况4",D54))))</f>
        <v>0</v>
      </c>
      <c r="E48" s="1800" t="str">
        <f>IF(H48="情况4","(销售额-原购置价)×税（费）率","销售额×税（费）率")</f>
        <v>销售额×税（费）率</v>
      </c>
      <c r="F48" s="174" t="str">
        <f>IF(H48="情况1","免征",'数据-取费表'!B41)</f>
        <v>免征</v>
      </c>
      <c r="G48" s="2480" t="s">
        <v>2187</v>
      </c>
      <c r="H48" s="2481" t="s">
        <v>2188</v>
      </c>
      <c r="I48" s="2479"/>
      <c r="J48" s="1811">
        <v>3</v>
      </c>
      <c r="K48" s="3128" t="s">
        <v>2189</v>
      </c>
      <c r="L48" s="3128"/>
      <c r="M48" s="3150">
        <f ca="1">H101</f>
        <v>5336</v>
      </c>
      <c r="N48" s="3150"/>
      <c r="O48" s="3150"/>
    </row>
    <row r="49" spans="1:35" ht="25.5" customHeight="1">
      <c r="A49" s="175" t="s">
        <v>2190</v>
      </c>
      <c r="B49" s="3064" t="s">
        <v>2191</v>
      </c>
      <c r="C49" s="3064"/>
      <c r="D49" s="176">
        <v>0</v>
      </c>
      <c r="E49" s="23" t="s">
        <v>2192</v>
      </c>
      <c r="F49" s="28" t="s">
        <v>34</v>
      </c>
      <c r="G49" s="3134"/>
      <c r="H49" s="137"/>
      <c r="I49" s="2482"/>
      <c r="J49" s="1811">
        <v>4</v>
      </c>
      <c r="K49" s="3128" t="str">
        <f>IF(项目基本情况!E8="房地产抵押价值","房地产抵押价值","抵押担保权已注销时的房地产抵押价值")</f>
        <v>房地产抵押价值</v>
      </c>
      <c r="L49" s="3128"/>
      <c r="M49" s="3150">
        <f ca="1">IF(项目基本情况!E8="房地产抵押价值",H107,H109)</f>
        <v>5336</v>
      </c>
      <c r="N49" s="3150"/>
      <c r="O49" s="3150"/>
    </row>
    <row r="50" spans="1:35" ht="25.5" customHeight="1">
      <c r="A50" s="177"/>
      <c r="B50" s="3064" t="s">
        <v>2193</v>
      </c>
      <c r="C50" s="3064"/>
      <c r="D50" s="178"/>
      <c r="E50" s="31"/>
      <c r="F50" s="179"/>
      <c r="G50" s="3135"/>
      <c r="H50" s="137"/>
      <c r="I50" s="2482"/>
      <c r="J50" s="3128" t="s">
        <v>2194</v>
      </c>
      <c r="K50" s="3128"/>
      <c r="L50" s="3128"/>
      <c r="M50" s="3128"/>
      <c r="N50" s="3128"/>
      <c r="O50" s="3128"/>
    </row>
    <row r="51" spans="1:35" ht="12" customHeight="1">
      <c r="A51" s="180"/>
      <c r="B51" s="3064" t="s">
        <v>2195</v>
      </c>
      <c r="C51" s="3064"/>
      <c r="D51" s="181"/>
      <c r="E51" s="30"/>
      <c r="F51" s="179"/>
      <c r="G51" s="3136"/>
      <c r="H51" s="137"/>
      <c r="I51" s="2482"/>
      <c r="J51" s="2483" t="s">
        <v>2196</v>
      </c>
      <c r="K51" s="3128" t="s">
        <v>2197</v>
      </c>
      <c r="L51" s="3128"/>
      <c r="M51" s="2483" t="s">
        <v>2198</v>
      </c>
      <c r="N51" s="2483" t="s">
        <v>2199</v>
      </c>
      <c r="O51" s="2483" t="s">
        <v>2200</v>
      </c>
    </row>
    <row r="52" spans="1:35" ht="24" customHeight="1">
      <c r="A52" s="182" t="s">
        <v>2201</v>
      </c>
      <c r="B52" s="3064" t="s">
        <v>2202</v>
      </c>
      <c r="C52" s="3064"/>
      <c r="D52" s="181">
        <f ca="1">ROUND(D45*'数据-取费表'!B41/(1+'数据-取费表'!C42),0)</f>
        <v>280</v>
      </c>
      <c r="E52" s="11" t="s">
        <v>2203</v>
      </c>
      <c r="F52" s="183">
        <f>'数据-取费表'!B41</f>
        <v>5.5000000000000007E-2</v>
      </c>
      <c r="G52" s="2484"/>
      <c r="H52" s="137"/>
      <c r="I52" s="2482"/>
      <c r="J52" s="1811">
        <v>1</v>
      </c>
      <c r="K52" s="3129" t="s">
        <v>2204</v>
      </c>
      <c r="L52" s="3129"/>
      <c r="M52" s="1753">
        <f>D48</f>
        <v>0</v>
      </c>
      <c r="N52" s="1811" t="str">
        <f>E48</f>
        <v>销售额×税（费）率</v>
      </c>
      <c r="O52" s="1754" t="str">
        <f>F48</f>
        <v>免征</v>
      </c>
    </row>
    <row r="53" spans="1:35" ht="12" customHeight="1">
      <c r="A53" s="182" t="s">
        <v>2205</v>
      </c>
      <c r="B53" s="3087" t="s">
        <v>2206</v>
      </c>
      <c r="C53" s="3088"/>
      <c r="D53" s="181">
        <f ca="1">ROUND(D45*'数据-取费表'!B41/(1+'数据-取费表'!C42),0)</f>
        <v>280</v>
      </c>
      <c r="E53" s="11" t="s">
        <v>2203</v>
      </c>
      <c r="F53" s="183">
        <f>'数据-取费表'!B41</f>
        <v>5.5000000000000007E-2</v>
      </c>
      <c r="G53" s="2484"/>
      <c r="H53" s="137"/>
      <c r="I53" s="2482"/>
      <c r="J53" s="1811">
        <v>2</v>
      </c>
      <c r="K53" s="3129" t="s">
        <v>2207</v>
      </c>
      <c r="L53" s="3129"/>
      <c r="M53" s="1753">
        <f t="shared" ref="M53:O54" ca="1" si="0">D55</f>
        <v>3</v>
      </c>
      <c r="N53" s="1811" t="str">
        <f t="shared" si="0"/>
        <v>销售额×税（费）率</v>
      </c>
      <c r="O53" s="1754">
        <f t="shared" si="0"/>
        <v>5.0000000000000001E-4</v>
      </c>
    </row>
    <row r="54" spans="1:35" ht="12" customHeight="1">
      <c r="A54" s="182" t="s">
        <v>2208</v>
      </c>
      <c r="B54" s="3087" t="s">
        <v>2209</v>
      </c>
      <c r="C54" s="3088"/>
      <c r="D54" s="181">
        <f ca="1">C68</f>
        <v>280</v>
      </c>
      <c r="E54" s="30" t="s">
        <v>2210</v>
      </c>
      <c r="F54" s="183">
        <f>'数据-取费表'!B41</f>
        <v>5.5000000000000007E-2</v>
      </c>
      <c r="G54" s="2484"/>
      <c r="H54" s="2485"/>
      <c r="I54" s="2482"/>
      <c r="J54" s="1811">
        <v>3</v>
      </c>
      <c r="K54" s="3129" t="s">
        <v>2211</v>
      </c>
      <c r="L54" s="3129"/>
      <c r="M54" s="1753">
        <f t="shared" ca="1" si="0"/>
        <v>3025</v>
      </c>
      <c r="N54" s="1811" t="str">
        <f t="shared" si="0"/>
        <v>增值额×税（费）率</v>
      </c>
      <c r="O54" s="1755" t="str">
        <f t="shared" si="0"/>
        <v>——</v>
      </c>
    </row>
    <row r="55" spans="1:35" ht="24" customHeight="1">
      <c r="A55" s="3078" t="s">
        <v>2212</v>
      </c>
      <c r="B55" s="3079"/>
      <c r="C55" s="3079"/>
      <c r="D55" s="184">
        <f ca="1">IF(H55="个人住宅",0,ROUND(D45*I55,0))</f>
        <v>3</v>
      </c>
      <c r="E55" s="11" t="s">
        <v>2213</v>
      </c>
      <c r="F55" s="183">
        <f>IF(H55="正常",I55,"免征")</f>
        <v>5.0000000000000001E-4</v>
      </c>
      <c r="G55" s="2484"/>
      <c r="H55" s="2481" t="s">
        <v>2214</v>
      </c>
      <c r="I55" s="185">
        <f>'数据-取费表'!B49</f>
        <v>5.0000000000000001E-4</v>
      </c>
      <c r="J55" s="1811" t="str">
        <f>IF(H59="非个人房产","",4)</f>
        <v/>
      </c>
      <c r="K55" s="3129" t="str">
        <f>IF(H59="非个人房产","——","个人所得税")</f>
        <v>——</v>
      </c>
      <c r="L55" s="3129"/>
      <c r="M55" s="1756" t="str">
        <f>D59</f>
        <v>——</v>
      </c>
      <c r="N55" s="1809" t="str">
        <f>E59</f>
        <v>——</v>
      </c>
      <c r="O55" s="1757" t="str">
        <f>F59</f>
        <v>——</v>
      </c>
    </row>
    <row r="56" spans="1:35" ht="24.75">
      <c r="A56" s="3078" t="s">
        <v>2215</v>
      </c>
      <c r="B56" s="3079"/>
      <c r="C56" s="3079"/>
      <c r="D56" s="184">
        <f ca="1">IF(H56="个人住宅",D57,D58)</f>
        <v>3025</v>
      </c>
      <c r="E56" s="11" t="s">
        <v>2216</v>
      </c>
      <c r="F56" s="183" t="str">
        <f>IF(H56="正常",F58,"免征")</f>
        <v>——</v>
      </c>
      <c r="G56" s="2486" t="s">
        <v>2217</v>
      </c>
      <c r="H56" s="2487" t="s">
        <v>2214</v>
      </c>
      <c r="I56" s="2488"/>
      <c r="J56" s="1811" t="str">
        <f>IF(项目基本情况!K6="上海银行",IF(J55="",4,J55+1),"")</f>
        <v/>
      </c>
      <c r="K56" s="3152" t="str">
        <f>IF(项目基本情况!K6="上海银行","其他处置费用","")</f>
        <v/>
      </c>
      <c r="L56" s="3153"/>
      <c r="M56" s="1753" t="str">
        <f>IF(项目基本情况!K6="上海银行",M69,"")</f>
        <v/>
      </c>
      <c r="N56" s="3155" t="str">
        <f>IF(项目基本情况!K6="上海银行","包含处置中涉及的律师、诉讼、拍卖、评估等费用","")</f>
        <v/>
      </c>
      <c r="O56" s="3156"/>
    </row>
    <row r="57" spans="1:35" ht="12.75">
      <c r="A57" s="182" t="s">
        <v>2190</v>
      </c>
      <c r="B57" s="3094" t="s">
        <v>2218</v>
      </c>
      <c r="C57" s="3103"/>
      <c r="D57" s="186">
        <v>0</v>
      </c>
      <c r="E57" s="23" t="s">
        <v>2192</v>
      </c>
      <c r="F57" s="154"/>
      <c r="G57" s="2484"/>
      <c r="H57" s="2488"/>
      <c r="I57" s="2488"/>
      <c r="J57" s="3129">
        <f>IF(AND(J55="",J56=""),4,IF(项目基本情况!K6="上海银行",结果表!J56+1,结果表!J55+1))</f>
        <v>4</v>
      </c>
      <c r="K57" s="3129" t="s">
        <v>2219</v>
      </c>
      <c r="L57" s="2489" t="s">
        <v>2220</v>
      </c>
      <c r="M57" s="1758"/>
      <c r="N57" s="1759">
        <f ca="1">SUMIF(M52:M56,"&lt;9e307")</f>
        <v>3028</v>
      </c>
      <c r="O57" s="2490"/>
      <c r="P57" s="1752">
        <f ca="1">N57/M49</f>
        <v>0.56746626686656676</v>
      </c>
    </row>
    <row r="58" spans="1:35" ht="24.75">
      <c r="A58" s="182" t="s">
        <v>2201</v>
      </c>
      <c r="B58" s="3094" t="s">
        <v>2221</v>
      </c>
      <c r="C58" s="3095"/>
      <c r="D58" s="184">
        <f ca="1">IF(H58="转让取得",C81,C97)</f>
        <v>3025</v>
      </c>
      <c r="E58" s="11" t="s">
        <v>2216</v>
      </c>
      <c r="F58" s="24" t="s">
        <v>34</v>
      </c>
      <c r="G58" s="2484"/>
      <c r="H58" s="2487" t="s">
        <v>2222</v>
      </c>
      <c r="I58" s="2488"/>
      <c r="J58" s="3129"/>
      <c r="K58" s="3129"/>
      <c r="L58" s="2489" t="s">
        <v>2223</v>
      </c>
      <c r="M58" s="1760"/>
      <c r="N58" s="2491" t="str">
        <f ca="1">NUMBERSTRING(INT(N57*10000),2)&amp;"元整"</f>
        <v>叁仟零贰拾捌万元整</v>
      </c>
      <c r="O58" s="2492"/>
    </row>
    <row r="59" spans="1:35" ht="24.75" thickBot="1">
      <c r="A59" s="3132" t="s">
        <v>2224</v>
      </c>
      <c r="B59" s="3133"/>
      <c r="C59" s="3133"/>
      <c r="D59" s="187" t="str">
        <f>IF(H59="非个人房产","——",IF(H59="个人住宅",0,ROUND(D45*I59,0)))</f>
        <v>——</v>
      </c>
      <c r="E59" s="188" t="str">
        <f>IF(H59="非个人房产","——","销售额×税（费）率")</f>
        <v>——</v>
      </c>
      <c r="F59" s="189" t="str">
        <f>IF(H59="非个人房产","——",IF(H59="个人住宅","免征",I59))</f>
        <v>——</v>
      </c>
      <c r="G59" s="2493" t="s">
        <v>2217</v>
      </c>
      <c r="H59" s="2487" t="s">
        <v>2225</v>
      </c>
      <c r="I59" s="190">
        <v>0.01</v>
      </c>
      <c r="J59" s="3130">
        <f>J57+1</f>
        <v>5</v>
      </c>
      <c r="K59" s="3129" t="s">
        <v>2226</v>
      </c>
      <c r="L59" s="1811" t="s">
        <v>2220</v>
      </c>
      <c r="M59" s="1761"/>
      <c r="N59" s="1762">
        <f ca="1">M49-N57</f>
        <v>2308</v>
      </c>
      <c r="O59" s="2494"/>
    </row>
    <row r="60" spans="1:35" ht="12" customHeight="1">
      <c r="A60" s="2495"/>
      <c r="B60" s="2417"/>
      <c r="C60" s="2417"/>
      <c r="D60" s="2417"/>
      <c r="E60" s="2166"/>
      <c r="F60" s="2488"/>
      <c r="G60" s="2488"/>
      <c r="H60" s="2496"/>
      <c r="I60" s="137"/>
      <c r="J60" s="3131"/>
      <c r="K60" s="3129"/>
      <c r="L60" s="2489" t="s">
        <v>2223</v>
      </c>
      <c r="M60" s="1760"/>
      <c r="N60" s="2491" t="str">
        <f ca="1">NUMBERSTRING(INT(N59*10000),2)&amp;"元整"</f>
        <v>贰仟叁佰零捌万元整</v>
      </c>
      <c r="O60" s="2492"/>
    </row>
    <row r="61" spans="1:35" ht="13.5" thickBot="1">
      <c r="A61" s="3076" t="s">
        <v>2227</v>
      </c>
      <c r="B61" s="3076"/>
      <c r="C61" s="3076"/>
      <c r="D61" s="3076"/>
      <c r="E61" s="3076"/>
      <c r="F61" s="2488"/>
      <c r="G61" s="2488"/>
      <c r="H61" s="2496"/>
      <c r="I61" s="137"/>
      <c r="J61" s="1811">
        <f>J59+1</f>
        <v>6</v>
      </c>
      <c r="K61" s="3129" t="s">
        <v>2228</v>
      </c>
      <c r="L61" s="3129"/>
      <c r="M61" s="1763"/>
      <c r="N61" s="1764">
        <f ca="1">ROUND(N59*10000/'数据-汇总表'!E3,0)</f>
        <v>1283</v>
      </c>
      <c r="O61" s="2497"/>
    </row>
    <row r="62" spans="1:35" ht="12.75">
      <c r="A62" s="3092" t="s">
        <v>2229</v>
      </c>
      <c r="B62" s="3093"/>
      <c r="C62" s="1803"/>
      <c r="D62" s="1803" t="s">
        <v>2230</v>
      </c>
      <c r="E62" s="191" t="s">
        <v>2231</v>
      </c>
      <c r="F62" s="2488"/>
      <c r="G62" s="2488"/>
      <c r="H62" s="2496"/>
      <c r="I62" s="137"/>
    </row>
    <row r="63" spans="1:35" ht="12.75">
      <c r="A63" s="202" t="s">
        <v>775</v>
      </c>
      <c r="B63" s="192" t="s">
        <v>2232</v>
      </c>
      <c r="C63" s="193">
        <f ca="1">ROUND((C64+C65)/(1+'数据-取费表'!C42),0)</f>
        <v>5082</v>
      </c>
      <c r="D63" s="194"/>
      <c r="E63" s="195"/>
      <c r="F63" s="2488"/>
      <c r="G63" s="2488"/>
      <c r="H63" s="2496"/>
      <c r="I63" s="137"/>
      <c r="J63" s="3154" t="s">
        <v>2233</v>
      </c>
      <c r="K63" s="2498" t="s">
        <v>2234</v>
      </c>
      <c r="L63" s="1751">
        <f ca="1">IF(M49&gt;10000,M49*0.5%,IF(AND(M49&gt;1000,M49&lt;=10000),M49*1%,IF(AND(M49&gt;100,M49&lt;=1000),M49*3%,IF(AND(M49&gt;10,M49&lt;=100),M49*5%,M49*8%))))</f>
        <v>53.36</v>
      </c>
      <c r="M63" s="24">
        <f ca="1">ROUND(L63,1)</f>
        <v>53.4</v>
      </c>
      <c r="Z63" s="2422"/>
      <c r="AI63" s="2423"/>
    </row>
    <row r="64" spans="1:35" ht="14.25" customHeight="1">
      <c r="A64" s="196" t="s">
        <v>770</v>
      </c>
      <c r="B64" s="197" t="s">
        <v>2235</v>
      </c>
      <c r="C64" s="198">
        <f ca="1">D45</f>
        <v>5336</v>
      </c>
      <c r="D64" s="199" t="s">
        <v>32</v>
      </c>
      <c r="E64" s="200"/>
      <c r="F64" s="2488"/>
      <c r="G64" s="2488"/>
      <c r="H64" s="2496"/>
      <c r="I64" s="137"/>
      <c r="J64" s="3154"/>
      <c r="K64" s="2498" t="s">
        <v>2236</v>
      </c>
      <c r="L64" s="1751">
        <f ca="1">IF(M49&gt;2000,M49*0.5%,IF(AND(M49&gt;1000,M49&lt;=2000),M49*0.6%,IF(AND(M49&gt;500,M49&lt;=1000),M49*0.7%,IF(AND(M49&gt;200,M49&lt;=500),M49*0.8%,IF(AND(M49&gt;100,M49&lt;=200),M49*0.9%,IF(AND(M49&gt;50,M49&lt;=100),M49*1%,IF(AND(M49&gt;20,M49&lt;=50),M49*1.5%,IF(AND(M49&gt;10,M49&lt;=20),M49*2%,IF(AND(M49&gt;1,M49&lt;=10),M49*2.5%)))))))))</f>
        <v>26.68</v>
      </c>
      <c r="M64" s="24">
        <f t="shared" ref="M64:M65" ca="1" si="1">ROUND(L64,1)</f>
        <v>26.7</v>
      </c>
      <c r="N64" s="137" t="s">
        <v>2237</v>
      </c>
      <c r="Z64" s="2422"/>
      <c r="AI64" s="2423"/>
    </row>
    <row r="65" spans="1:35" ht="14.25" customHeight="1">
      <c r="A65" s="196" t="s">
        <v>771</v>
      </c>
      <c r="B65" s="197" t="s">
        <v>2238</v>
      </c>
      <c r="C65" s="201"/>
      <c r="D65" s="199"/>
      <c r="E65" s="200"/>
      <c r="F65" s="2488"/>
      <c r="G65" s="2488"/>
      <c r="H65" s="2496"/>
      <c r="I65" s="137"/>
      <c r="J65" s="3154"/>
      <c r="K65" s="2498" t="s">
        <v>2239</v>
      </c>
      <c r="L65" s="1751">
        <f ca="1">IF(M49&gt;1000,M49*0.1%,IF(AND(M49&gt;500,M49&lt;=1000),M49*0.5%,IF(AND(M49&gt;50,M49&lt;=500),M49*1%,IF(AND(M49&gt;1,M49&lt;=50),M49*1.5%))))</f>
        <v>5.3360000000000003</v>
      </c>
      <c r="M65" s="24">
        <f t="shared" ca="1" si="1"/>
        <v>5.3</v>
      </c>
      <c r="N65" s="137" t="s">
        <v>2237</v>
      </c>
      <c r="Z65" s="2422"/>
      <c r="AI65" s="2423"/>
    </row>
    <row r="66" spans="1:35" ht="14.25" customHeight="1">
      <c r="A66" s="202" t="s">
        <v>772</v>
      </c>
      <c r="B66" s="203" t="s">
        <v>2240</v>
      </c>
      <c r="C66" s="204"/>
      <c r="D66" s="205" t="s">
        <v>32</v>
      </c>
      <c r="E66" s="1775" t="s">
        <v>1367</v>
      </c>
      <c r="F66" s="2488"/>
      <c r="G66" s="2488"/>
      <c r="H66" s="2496"/>
      <c r="I66" s="137"/>
      <c r="J66" s="3154"/>
      <c r="K66" s="2498" t="s">
        <v>2241</v>
      </c>
      <c r="L66" s="1751">
        <f ca="1">M49*0.5%</f>
        <v>26.68</v>
      </c>
      <c r="M66" s="24">
        <f ca="1">IF(L66&gt;0.5,0.5,ROUND(L66,0))</f>
        <v>0.5</v>
      </c>
      <c r="N66" s="137" t="s">
        <v>2242</v>
      </c>
      <c r="Z66" s="2422"/>
      <c r="AI66" s="2423"/>
    </row>
    <row r="67" spans="1:35" ht="14.25" customHeight="1">
      <c r="A67" s="202" t="s">
        <v>773</v>
      </c>
      <c r="B67" s="203" t="s">
        <v>2243</v>
      </c>
      <c r="C67" s="206">
        <f ca="1">C63-C66</f>
        <v>5082</v>
      </c>
      <c r="D67" s="199" t="s">
        <v>32</v>
      </c>
      <c r="E67" s="200"/>
      <c r="F67" s="2488"/>
      <c r="G67" s="2488"/>
      <c r="H67" s="2496"/>
      <c r="I67" s="137"/>
      <c r="J67" s="3154"/>
      <c r="K67" s="2498" t="s">
        <v>2244</v>
      </c>
      <c r="L67" s="1751">
        <f ca="1">IF(M49&gt;=10000,(8.25+(M49-10000)*0.01%),IF(AND(M49&gt;=8000,M49&lt;10000),(7.85+(M49-8000)*0.02%),IF(AND(M49&gt;=5000,M49&lt;8000),(6.65+(M49-5000)*0.04%),IF(AND(M49&gt;=2000,M49&lt;5000),(4.25+(PM49-2000)*0.08%),IF(AND(M49&gt;=1000,M49&lt;2000),(2.75+(M49-1000)*0.15%),IF(AND(M49&gt;=100,M49&lt;1000),(0.5+(M49-100)*0.25%),IF(AND(M49&gt;0,M49&lt;100),M49*0.5%)))))))</f>
        <v>6.7844000000000007</v>
      </c>
      <c r="M67" s="24">
        <f ca="1">ROUND(L67*0.9,1)</f>
        <v>6.1</v>
      </c>
      <c r="Z67" s="2422"/>
      <c r="AI67" s="2423"/>
    </row>
    <row r="68" spans="1:35" ht="14.25" customHeight="1" thickBot="1">
      <c r="A68" s="207" t="s">
        <v>774</v>
      </c>
      <c r="B68" s="208" t="s">
        <v>2245</v>
      </c>
      <c r="C68" s="209">
        <f ca="1">IF(C67&lt;=0,0,ROUND(C67*D68,0))</f>
        <v>280</v>
      </c>
      <c r="D68" s="210">
        <f>'数据-取费表'!B41</f>
        <v>5.5000000000000007E-2</v>
      </c>
      <c r="E68" s="211"/>
      <c r="F68" s="2488"/>
      <c r="G68" s="2488"/>
      <c r="H68" s="2496"/>
      <c r="I68" s="137"/>
      <c r="J68" s="3154"/>
      <c r="K68" s="2498" t="s">
        <v>2246</v>
      </c>
      <c r="L68" s="1751">
        <f ca="1">IF(M49&gt;10000,M49*0.5%,IF(AND(M49&gt;5000,M49&lt;=10000),M49*1%,IF(AND(M49&gt;1000,M49&lt;=5000),M49*2%,IF(AND(M49&gt;200,M49&lt;=1000),M49*3%,M49*5%))))</f>
        <v>53.36</v>
      </c>
      <c r="M68" s="24">
        <f ca="1">ROUND(L68,1)</f>
        <v>53.4</v>
      </c>
      <c r="Z68" s="2422"/>
      <c r="AI68" s="2423"/>
    </row>
    <row r="69" spans="1:35" s="2445" customFormat="1" ht="16.5" customHeight="1">
      <c r="A69" s="2499"/>
      <c r="B69" s="2500"/>
      <c r="C69" s="2501"/>
      <c r="D69" s="2502"/>
      <c r="E69" s="2503"/>
      <c r="F69" s="2166"/>
      <c r="G69" s="2166"/>
      <c r="H69" s="2165"/>
      <c r="I69" s="2417"/>
      <c r="J69" s="3154"/>
      <c r="K69" s="2498" t="s">
        <v>2247</v>
      </c>
      <c r="L69" s="2504"/>
      <c r="M69" s="24">
        <f ca="1">ROUND(SUM(M63:M68),0)</f>
        <v>145</v>
      </c>
      <c r="N69" s="1752">
        <f ca="1">M69/M49</f>
        <v>2.717391304347826E-2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13" t="s">
        <v>2248</v>
      </c>
      <c r="B70" s="3114"/>
      <c r="C70" s="3114"/>
      <c r="D70" s="3114"/>
      <c r="E70" s="3114"/>
      <c r="F70" s="3114"/>
      <c r="G70" s="3114"/>
      <c r="H70" s="311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2" t="s">
        <v>2229</v>
      </c>
      <c r="B71" s="3093"/>
      <c r="C71" s="1803"/>
      <c r="D71" s="1803" t="s">
        <v>2230</v>
      </c>
      <c r="E71" s="212" t="s">
        <v>2231</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2249</v>
      </c>
      <c r="C72" s="206">
        <f ca="1">ROUND(D45/(1+'数据-取费表'!C42),0)</f>
        <v>5082</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2250</v>
      </c>
      <c r="C73" s="206">
        <f ca="1">C74+C78</f>
        <v>25</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2251</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2252</v>
      </c>
      <c r="C75" s="217"/>
      <c r="D75" s="199" t="s">
        <v>32</v>
      </c>
      <c r="E75" s="218" t="s">
        <v>2253</v>
      </c>
      <c r="F75" s="2510" t="s">
        <v>2254</v>
      </c>
      <c r="G75" s="218" t="s">
        <v>2255</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2256</v>
      </c>
      <c r="C76" s="199">
        <f>IF(F75="购房发票",ROUND(C75*H75*D76,0),0)</f>
        <v>0</v>
      </c>
      <c r="D76" s="221">
        <v>0.05</v>
      </c>
      <c r="E76" s="3087" t="s">
        <v>2257</v>
      </c>
      <c r="F76" s="3064"/>
      <c r="G76" s="3064"/>
      <c r="H76" s="311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2258</v>
      </c>
      <c r="C77" s="199">
        <f>ROUND(IF(G77="个人住宅",0,IF(G77="2016年5月1日前购买",C75*D77,C75*D77/(1+'数据-取费表'!C42))),0)</f>
        <v>0</v>
      </c>
      <c r="D77" s="222">
        <f>'数据-取费表'!B48+'数据-取费表'!B49</f>
        <v>3.0499999999999999E-2</v>
      </c>
      <c r="E77" s="15" t="s">
        <v>2259</v>
      </c>
      <c r="F77" s="223"/>
      <c r="G77" s="2512" t="s">
        <v>2260</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2261</v>
      </c>
      <c r="C78" s="224">
        <f ca="1">ROUND(D45*D78/(1+'数据-取费表'!C42),0)</f>
        <v>25</v>
      </c>
      <c r="D78" s="225">
        <f>'数据-取费表'!B43</f>
        <v>5.000000000000001E-3</v>
      </c>
      <c r="E78" s="3073" t="s">
        <v>2262</v>
      </c>
      <c r="F78" s="3074"/>
      <c r="G78" s="3074"/>
      <c r="H78" s="308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2263</v>
      </c>
      <c r="C79" s="206">
        <f ca="1">C72-C73</f>
        <v>5057</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2264</v>
      </c>
      <c r="C80" s="226">
        <f ca="1">IF(C79&lt;=0,0,C79/C73)</f>
        <v>202.28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2265</v>
      </c>
      <c r="C81" s="227">
        <f ca="1">ROUND(IF(C79&lt;=0,0,IF(C80&gt;=200%,C79*60%-C73*35%,IF(C80&gt;=100%,C79*50%-C73*15%,IF(C80&gt;=50%,C79*40%-C73*5%,IF(C80&lt;50%,C79*30%,0))))),0)</f>
        <v>3025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3" t="s">
        <v>2266</v>
      </c>
      <c r="B83" s="3114"/>
      <c r="C83" s="3114"/>
      <c r="D83" s="3114"/>
      <c r="E83" s="3114"/>
      <c r="F83" s="3114"/>
      <c r="G83" s="3114"/>
      <c r="H83" s="311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2" t="s">
        <v>2229</v>
      </c>
      <c r="B84" s="3093"/>
      <c r="C84" s="1803"/>
      <c r="D84" s="1803" t="s">
        <v>2230</v>
      </c>
      <c r="E84" s="212" t="s">
        <v>2231</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2249</v>
      </c>
      <c r="C85" s="206">
        <f ca="1">ROUND(D45/(1+'数据-取费表'!C42),0)</f>
        <v>5082</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2250</v>
      </c>
      <c r="C86" s="206">
        <f ca="1">IF(H88="仅含出让金",C87+C90+C91+C92+C93+C94,C87+C91+C92+C93+C94)</f>
        <v>25</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2267</v>
      </c>
      <c r="C87" s="224">
        <f>C88+C89</f>
        <v>0</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2268</v>
      </c>
      <c r="C88" s="235"/>
      <c r="D88" s="225"/>
      <c r="E88" s="236" t="s">
        <v>2269</v>
      </c>
      <c r="F88" s="1799"/>
      <c r="G88" s="237" t="s">
        <v>2270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2258</v>
      </c>
      <c r="C89" s="224">
        <f>ROUND(C88*D89,0)</f>
        <v>0</v>
      </c>
      <c r="D89" s="225">
        <f>'数据-取费表'!B48+'数据-取费表'!B49</f>
        <v>3.0499999999999999E-2</v>
      </c>
      <c r="E89" s="236" t="s">
        <v>2271</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2272</v>
      </c>
      <c r="C90" s="235"/>
      <c r="D90" s="225"/>
      <c r="E90" s="236"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2273</v>
      </c>
      <c r="B91" s="197" t="s">
        <v>2274</v>
      </c>
      <c r="C91" s="224">
        <f>IF(H91="——",成本法!C33,I91)</f>
        <v>0</v>
      </c>
      <c r="D91" s="225"/>
      <c r="E91" s="3073" t="s">
        <v>2275</v>
      </c>
      <c r="F91" s="3074"/>
      <c r="G91" s="3074"/>
      <c r="H91" s="2517" t="s">
        <v>2276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2277</v>
      </c>
      <c r="B92" s="197" t="s">
        <v>2278</v>
      </c>
      <c r="C92" s="224">
        <f>ROUND((C87+C90+C91)*D92,0)</f>
        <v>0</v>
      </c>
      <c r="D92" s="225">
        <v>0.1</v>
      </c>
      <c r="E92" s="3073" t="s">
        <v>2279</v>
      </c>
      <c r="F92" s="3074"/>
      <c r="G92" s="3074"/>
      <c r="H92" s="308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2280</v>
      </c>
      <c r="B93" s="197" t="s">
        <v>2261</v>
      </c>
      <c r="C93" s="224">
        <f ca="1">ROUND(D45*D93/(1+'数据-取费表'!C42),0)</f>
        <v>25</v>
      </c>
      <c r="D93" s="225">
        <f>'数据-取费表'!B43</f>
        <v>5.000000000000001E-3</v>
      </c>
      <c r="E93" s="3073" t="s">
        <v>2262</v>
      </c>
      <c r="F93" s="3074"/>
      <c r="G93" s="3074"/>
      <c r="H93" s="308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2281</v>
      </c>
      <c r="B94" s="197" t="s">
        <v>2282</v>
      </c>
      <c r="C94" s="235">
        <f>ROUND((C87+C90+C91)*D94,0)</f>
        <v>0</v>
      </c>
      <c r="D94" s="225">
        <v>0.2</v>
      </c>
      <c r="E94" s="3084" t="s">
        <v>2283</v>
      </c>
      <c r="F94" s="3085"/>
      <c r="G94" s="3085"/>
      <c r="H94" s="308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2263</v>
      </c>
      <c r="C95" s="206">
        <f ca="1">ROUND(C85-C86,0)</f>
        <v>5057</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2264</v>
      </c>
      <c r="C96" s="226">
        <f ca="1">IF(C95&lt;=0,0,C95/C86)</f>
        <v>202.28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2265</v>
      </c>
      <c r="C97" s="227">
        <f ca="1">ROUND(IF(C95&lt;=0,0,IF(C96&gt;=200%,C95*60%-C86*35%,IF(C96&gt;=100%,C95*50%-C86*15%,IF(C96&gt;=50%,C95*40%-C86*5%,IF(C96&lt;50%,C95*30%,0))))),0)</f>
        <v>3025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7"/>
    </row>
    <row r="99" spans="1:35" ht="21.75" customHeight="1" thickBot="1">
      <c r="A99" s="2473" t="s">
        <v>2284</v>
      </c>
      <c r="B99" s="2417"/>
      <c r="C99" s="2417"/>
      <c r="D99" s="2417"/>
      <c r="E99" s="2166"/>
      <c r="F99" s="2166"/>
      <c r="G99" s="2166"/>
      <c r="H99" s="2165"/>
      <c r="I99" s="137"/>
    </row>
    <row r="100" spans="1:35" ht="18.75" customHeight="1">
      <c r="A100" s="3058" t="s">
        <v>2285</v>
      </c>
      <c r="B100" s="3059"/>
      <c r="C100" s="3059"/>
      <c r="D100" s="3075"/>
      <c r="E100" s="3059" t="s">
        <v>2286</v>
      </c>
      <c r="F100" s="3059"/>
      <c r="G100" s="3059"/>
      <c r="H100" s="3075"/>
      <c r="I100" s="137"/>
    </row>
    <row r="101" spans="1:35" ht="18.75" customHeight="1">
      <c r="A101" s="3137" t="s">
        <v>2287</v>
      </c>
      <c r="B101" s="3138"/>
      <c r="C101" s="735" t="str">
        <f>C4</f>
        <v>成本法</v>
      </c>
      <c r="D101" s="736" t="str">
        <f>D4</f>
        <v>收益法</v>
      </c>
      <c r="E101" s="3151" t="s">
        <v>2288</v>
      </c>
      <c r="F101" s="3105"/>
      <c r="G101" s="2519" t="s">
        <v>2289</v>
      </c>
      <c r="H101" s="1047">
        <f ca="1">H118</f>
        <v>5336</v>
      </c>
      <c r="I101" s="137"/>
    </row>
    <row r="102" spans="1:35" ht="18.75" customHeight="1">
      <c r="A102" s="3107" t="s">
        <v>2290</v>
      </c>
      <c r="B102" s="2519" t="s">
        <v>2289</v>
      </c>
      <c r="C102" s="735">
        <f ca="1">C19</f>
        <v>5240</v>
      </c>
      <c r="D102" s="736">
        <f ca="1">D19</f>
        <v>5431</v>
      </c>
      <c r="E102" s="3151"/>
      <c r="F102" s="3105"/>
      <c r="G102" s="2519" t="s">
        <v>2291</v>
      </c>
      <c r="H102" s="370">
        <f ca="1">I118</f>
        <v>2966</v>
      </c>
      <c r="I102" s="137"/>
    </row>
    <row r="103" spans="1:35" ht="42.75" customHeight="1">
      <c r="A103" s="3107"/>
      <c r="B103" s="2519" t="s">
        <v>2291</v>
      </c>
      <c r="C103" s="737">
        <f ca="1">C20</f>
        <v>2913</v>
      </c>
      <c r="D103" s="738">
        <f ca="1">D20</f>
        <v>3019</v>
      </c>
      <c r="E103" s="3146" t="s">
        <v>2292</v>
      </c>
      <c r="F103" s="3147"/>
      <c r="G103" s="2520" t="s">
        <v>2293</v>
      </c>
      <c r="H103" s="1047">
        <f>IF(D36="正常操作",H104+H105+H106,H105+H106)</f>
        <v>0</v>
      </c>
      <c r="I103" s="137"/>
    </row>
    <row r="104" spans="1:35" ht="18.75" customHeight="1">
      <c r="A104" s="3107" t="s">
        <v>2294</v>
      </c>
      <c r="B104" s="2521" t="s">
        <v>2289</v>
      </c>
      <c r="C104" s="739">
        <f ca="1">H118</f>
        <v>5336</v>
      </c>
      <c r="D104" s="740"/>
      <c r="E104" s="2267" t="s">
        <v>2295</v>
      </c>
      <c r="F104" s="2258"/>
      <c r="G104" s="2520" t="s">
        <v>2293</v>
      </c>
      <c r="H104" s="1048">
        <f>IF(D36="同一抵押权人同一抵押物续贷",C36&amp;"（未扣减，详见特别提示）",C36)</f>
        <v>0</v>
      </c>
      <c r="I104" s="137"/>
    </row>
    <row r="105" spans="1:35" ht="18.75" customHeight="1" thickBot="1">
      <c r="A105" s="3108"/>
      <c r="B105" s="2522" t="s">
        <v>2291</v>
      </c>
      <c r="C105" s="741">
        <f ca="1">I118</f>
        <v>2966</v>
      </c>
      <c r="D105" s="742"/>
      <c r="E105" s="2267" t="s">
        <v>2296</v>
      </c>
      <c r="F105" s="2258"/>
      <c r="G105" s="2520" t="s">
        <v>2293</v>
      </c>
      <c r="H105" s="1048">
        <f>C37</f>
        <v>0</v>
      </c>
      <c r="I105" s="137"/>
    </row>
    <row r="106" spans="1:35" ht="18.75" customHeight="1">
      <c r="A106" s="2417" t="s">
        <v>2297</v>
      </c>
      <c r="B106" s="2417"/>
      <c r="C106" s="2417"/>
      <c r="D106" s="2417"/>
      <c r="E106" s="2523" t="s">
        <v>2298</v>
      </c>
      <c r="F106" s="2258"/>
      <c r="G106" s="2520" t="s">
        <v>2293</v>
      </c>
      <c r="H106" s="1048">
        <f>C38</f>
        <v>0</v>
      </c>
      <c r="I106" s="137"/>
    </row>
    <row r="107" spans="1:35" ht="18.75" customHeight="1">
      <c r="A107" s="137"/>
      <c r="B107" s="137"/>
      <c r="C107" s="137"/>
      <c r="D107" s="137"/>
      <c r="E107" s="3104" t="str">
        <f>IF(项目基本情况!E8="已注销","——","3.房地产抵押价值")</f>
        <v>3.房地产抵押价值</v>
      </c>
      <c r="F107" s="3105"/>
      <c r="G107" s="2519" t="s">
        <v>2289</v>
      </c>
      <c r="H107" s="1047">
        <f ca="1">IF(E107="——","——",H101-H103)</f>
        <v>5336</v>
      </c>
      <c r="I107" s="137"/>
    </row>
    <row r="108" spans="1:35" ht="18.75" customHeight="1">
      <c r="A108" s="137"/>
      <c r="B108" s="137"/>
      <c r="C108" s="137"/>
      <c r="D108" s="137"/>
      <c r="E108" s="3104"/>
      <c r="F108" s="3105"/>
      <c r="G108" s="2519" t="s">
        <v>2291</v>
      </c>
      <c r="H108" s="370">
        <f ca="1">ROUND(H107*10000/'数据-汇总表'!E3,0)</f>
        <v>2966</v>
      </c>
      <c r="I108" s="137"/>
    </row>
    <row r="109" spans="1:35" ht="18.75" customHeight="1">
      <c r="A109" s="137"/>
      <c r="B109" s="137"/>
      <c r="C109" s="137"/>
      <c r="D109" s="137"/>
      <c r="E109" s="3104" t="str">
        <f>IF(项目基本情况!E8="已注销及未注销","4.抵押担保权已注销时的房地产抵押价值",IF(项目基本情况!E8="已注销","3.抵押担保权已注销时的房地产抵押价值","——"))</f>
        <v>——</v>
      </c>
      <c r="F109" s="3105"/>
      <c r="G109" s="2519" t="s">
        <v>2289</v>
      </c>
      <c r="H109" s="347" t="str">
        <f>IF(E109="——","——",H101-H105-H106)</f>
        <v>——</v>
      </c>
      <c r="I109" s="137"/>
    </row>
    <row r="110" spans="1:35" ht="18.75" customHeight="1">
      <c r="A110" s="137"/>
      <c r="B110" s="137"/>
      <c r="C110" s="137"/>
      <c r="D110" s="137"/>
      <c r="E110" s="3104"/>
      <c r="F110" s="3105"/>
      <c r="G110" s="2519" t="s">
        <v>2291</v>
      </c>
      <c r="H110" s="370" t="str">
        <f>IF(H109="——","——",ROUND(H109*10000/'数据-汇总表'!E3,0))</f>
        <v>——</v>
      </c>
      <c r="I110" s="137"/>
    </row>
    <row r="111" spans="1:35" ht="18.75" customHeight="1">
      <c r="A111" s="137"/>
      <c r="B111" s="137"/>
      <c r="C111" s="137"/>
      <c r="D111" s="137"/>
      <c r="E111" s="3139" t="str">
        <f>IF(项目基本情况!E9="抵押净值",IF(OR(项目基本情况!E8="已注销",项目基本情况!E8="房地产抵押价值"),"4.抵押净值","5.抵押净值"),"——")</f>
        <v>——</v>
      </c>
      <c r="F111" s="3140"/>
      <c r="G111" s="2519" t="s">
        <v>2289</v>
      </c>
      <c r="H111" s="1047" t="str">
        <f>IF(E111="——","——",N59)</f>
        <v>——</v>
      </c>
      <c r="I111" s="137"/>
    </row>
    <row r="112" spans="1:35" ht="18.75" customHeight="1" thickBot="1">
      <c r="A112" s="137"/>
      <c r="B112" s="137"/>
      <c r="C112" s="137"/>
      <c r="D112" s="137"/>
      <c r="E112" s="3141"/>
      <c r="F112" s="3142"/>
      <c r="G112" s="2524" t="s">
        <v>2291</v>
      </c>
      <c r="H112" s="789" t="str">
        <f>IF(E111="——","——",N61)</f>
        <v>——</v>
      </c>
      <c r="I112" s="137"/>
    </row>
    <row r="113" spans="1:11" ht="18.75" customHeight="1">
      <c r="A113" s="137"/>
      <c r="B113" s="137"/>
      <c r="C113" s="137"/>
      <c r="D113" s="137"/>
      <c r="E113" s="3109" t="s">
        <v>2297</v>
      </c>
      <c r="F113" s="3109"/>
      <c r="G113" s="3109"/>
      <c r="H113" s="3109"/>
      <c r="I113" s="137"/>
    </row>
    <row r="114" spans="1:11" ht="3.75" customHeight="1">
      <c r="A114" s="2417"/>
      <c r="B114" s="2417"/>
      <c r="C114" s="2417"/>
      <c r="D114" s="2417"/>
      <c r="E114" s="2495"/>
      <c r="F114" s="2495"/>
      <c r="G114" s="2495"/>
      <c r="H114" s="2495"/>
      <c r="I114" s="2417"/>
    </row>
    <row r="115" spans="1:11" ht="18.75" customHeight="1">
      <c r="A115" s="3122" t="s">
        <v>2299</v>
      </c>
      <c r="B115" s="3123"/>
      <c r="C115" s="3123"/>
      <c r="D115" s="3123"/>
      <c r="E115" s="3123"/>
      <c r="F115" s="3123"/>
      <c r="G115" s="3123"/>
      <c r="H115" s="3123"/>
      <c r="I115" s="3124"/>
    </row>
    <row r="116" spans="1:11" ht="27" customHeight="1">
      <c r="A116" s="3015" t="s">
        <v>2300</v>
      </c>
      <c r="B116" s="3110" t="s">
        <v>2301</v>
      </c>
      <c r="C116" s="3110" t="s">
        <v>2302</v>
      </c>
      <c r="D116" s="3126" t="s">
        <v>2303</v>
      </c>
      <c r="E116" s="3127"/>
      <c r="F116" s="3118" t="s">
        <v>2304</v>
      </c>
      <c r="G116" s="3118"/>
      <c r="H116" s="3015" t="s">
        <v>2305</v>
      </c>
      <c r="I116" s="3015"/>
    </row>
    <row r="117" spans="1:11" ht="18.75" customHeight="1">
      <c r="A117" s="3015"/>
      <c r="B117" s="3111"/>
      <c r="C117" s="3111"/>
      <c r="D117" s="1797" t="s">
        <v>2306</v>
      </c>
      <c r="E117" s="1797" t="s">
        <v>2307</v>
      </c>
      <c r="F117" s="1797" t="s">
        <v>2306</v>
      </c>
      <c r="G117" s="1797" t="s">
        <v>2308</v>
      </c>
      <c r="H117" s="1797" t="s">
        <v>2306</v>
      </c>
      <c r="I117" s="1797" t="s">
        <v>2308</v>
      </c>
    </row>
    <row r="118" spans="1:11" ht="24.75" customHeight="1">
      <c r="A118" s="2525" t="str">
        <f>项目基本情况!S2</f>
        <v>河北省保定市定兴县新107国道东侧房地产</v>
      </c>
      <c r="B118" s="1797">
        <f>M18</f>
        <v>17987.810000000001</v>
      </c>
      <c r="C118" s="1797">
        <f>M19</f>
        <v>25697.15</v>
      </c>
      <c r="D118" s="1797">
        <f ca="1">ROUND(IF(D32="总价",C34,E118*B118/10000),0)</f>
        <v>1371</v>
      </c>
      <c r="E118" s="1797">
        <f ca="1">ROUND(IF(C33="自定义",IF(D32="楼面单价",C34,D118*10000/B118),I118-G118),0)</f>
        <v>762</v>
      </c>
      <c r="F118" s="1797">
        <f ca="1">ROUND(IF(D32="总价",C35,G118*B118/10000),0)</f>
        <v>3965</v>
      </c>
      <c r="G118" s="1797">
        <f ca="1">ROUND(IF(D32="楼面单价",C35,F118*10000/B118),0)</f>
        <v>2204</v>
      </c>
      <c r="H118" s="1797">
        <f ca="1">ROUND(IF(D32="总价",C32,I118*B118/10000),0)</f>
        <v>5336</v>
      </c>
      <c r="I118" s="1797">
        <f ca="1">ROUND(IF(D32="楼面单价",C32,H118*10000/B118),0)</f>
        <v>2966</v>
      </c>
    </row>
    <row r="119" spans="1:11" ht="18.75" customHeight="1">
      <c r="A119" s="3015" t="s">
        <v>2309</v>
      </c>
      <c r="B119" s="3015"/>
      <c r="C119" s="3015"/>
      <c r="D119" s="3115" t="str">
        <f ca="1">NUMBERSTRING(INT(D118*10000),2)&amp;"元整"</f>
        <v>壹仟叁佰柒拾壹万元整</v>
      </c>
      <c r="E119" s="3117"/>
      <c r="F119" s="3115" t="str">
        <f ca="1">NUMBERSTRING(INT(F118*10000),2)&amp;"元整"</f>
        <v>叁仟玖佰陆拾伍万元整</v>
      </c>
      <c r="G119" s="3117"/>
      <c r="H119" s="3115" t="str">
        <f ca="1">NUMBERSTRING(INT(H118*10000),2)&amp;"元整"</f>
        <v>伍仟叁佰叁拾陆万元整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22" t="str">
        <f>IF(D120=0,"故，本次评估不存在"&amp;A120,"故，本次评估"&amp;A120&amp;"为人民币"&amp;D120&amp;"万元整。")</f>
        <v>故，本次评估不存在估价师知悉的法定优先受偿款</v>
      </c>
    </row>
    <row r="121" spans="1:11" ht="18.75" customHeight="1">
      <c r="A121" s="3119" t="s">
        <v>2309</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5336</v>
      </c>
      <c r="E122" s="3144"/>
      <c r="F122" s="3144"/>
      <c r="G122" s="3144"/>
      <c r="H122" s="3144"/>
      <c r="I122" s="3145"/>
    </row>
    <row r="123" spans="1:11" ht="18.75" customHeight="1">
      <c r="A123" s="3015" t="s">
        <v>2309</v>
      </c>
      <c r="B123" s="3015"/>
      <c r="C123" s="3015"/>
      <c r="D123" s="3115" t="str">
        <f ca="1">NUMBERSTRING(INT(D122*10000),2)&amp;"元整"</f>
        <v>伍仟叁佰叁拾陆万元整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2309</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2309</v>
      </c>
      <c r="B127" s="3015"/>
      <c r="C127" s="3015"/>
      <c r="D127" s="3115" t="e">
        <f>NUMBERSTRING(INT(D126*10000),2)&amp;"元整"</f>
        <v>#VALUE!</v>
      </c>
      <c r="E127" s="3116"/>
      <c r="F127" s="3116"/>
      <c r="G127" s="3116"/>
      <c r="H127" s="3116"/>
      <c r="I127" s="3117"/>
    </row>
    <row r="128" spans="1:11" ht="21.75" customHeight="1">
      <c r="A128" s="3125" t="s">
        <v>2310</v>
      </c>
      <c r="B128" s="3125"/>
      <c r="C128" s="3125"/>
      <c r="D128" s="3125"/>
      <c r="E128" s="3125"/>
      <c r="F128" s="3125"/>
      <c r="G128" s="3125"/>
      <c r="H128" s="3125"/>
      <c r="I128" s="3125"/>
    </row>
    <row r="129" spans="1:35" ht="21.75" customHeight="1">
      <c r="A129" s="2526" t="s">
        <v>2311</v>
      </c>
      <c r="B129" s="2527"/>
      <c r="C129" s="2528" t="s">
        <v>2312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2313</v>
      </c>
      <c r="G135" s="2543"/>
      <c r="H135" s="2543"/>
      <c r="I135" s="2544" t="s">
        <v>2314</v>
      </c>
    </row>
    <row r="136" spans="1:35" ht="21.75" customHeight="1">
      <c r="A136" s="794"/>
      <c r="B136" s="2545" t="s">
        <v>2315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2316</v>
      </c>
    </row>
    <row r="139" spans="1:35" ht="21.75" customHeight="1">
      <c r="A139" s="794"/>
      <c r="B139" s="2545" t="s">
        <v>2317</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2316</v>
      </c>
    </row>
    <row r="142" spans="1:35" ht="21.75" customHeight="1">
      <c r="A142" s="794"/>
      <c r="B142" s="2545"/>
      <c r="C142" s="2546"/>
      <c r="D142" s="2547"/>
      <c r="E142" s="2547"/>
      <c r="F142" s="2341"/>
      <c r="G142" s="794"/>
      <c r="H142" s="794"/>
      <c r="I142" s="794"/>
    </row>
    <row r="143" spans="1:35" s="138" customFormat="1" ht="21.75" customHeight="1">
      <c r="A143" s="794"/>
      <c r="B143" s="2545"/>
      <c r="C143" s="2546"/>
      <c r="D143" s="2547"/>
      <c r="E143" s="2547"/>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5" zoomScale="80" zoomScaleNormal="80" workbookViewId="0">
      <selection activeCell="K11" sqref="K11"/>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2319</v>
      </c>
      <c r="B2" s="670">
        <f>F61</f>
        <v>1038</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2321</v>
      </c>
      <c r="B3" s="608">
        <f>ROUND(IF(D3="",B2*10000/'数据-汇总表'!E3,B2*10000/D3),0)</f>
        <v>577</v>
      </c>
      <c r="C3" s="246" t="s">
        <v>2738</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2637</v>
      </c>
      <c r="B4" s="401"/>
      <c r="C4" s="3157" t="s">
        <v>2638</v>
      </c>
      <c r="D4" s="3185"/>
      <c r="E4" s="3186" t="s">
        <v>2639</v>
      </c>
      <c r="F4" s="3187"/>
      <c r="G4" s="3157" t="s">
        <v>2640</v>
      </c>
      <c r="H4" s="3185"/>
      <c r="I4" s="3157" t="s">
        <v>2641</v>
      </c>
      <c r="J4" s="3185"/>
      <c r="K4" s="609" t="s">
        <v>2642</v>
      </c>
      <c r="L4" s="1132"/>
      <c r="M4" s="1133"/>
      <c r="N4" s="1133"/>
      <c r="O4" s="1133"/>
      <c r="P4" s="3188" t="s">
        <v>2643</v>
      </c>
      <c r="Q4" s="3189"/>
      <c r="R4" s="3164" t="s">
        <v>2639</v>
      </c>
      <c r="S4" s="3165"/>
      <c r="T4" s="3164" t="s">
        <v>2640</v>
      </c>
      <c r="U4" s="3165"/>
      <c r="V4" s="3178" t="s">
        <v>2641</v>
      </c>
      <c r="W4" s="3178"/>
      <c r="X4" s="1815"/>
      <c r="Y4" s="3164" t="s">
        <v>2643</v>
      </c>
      <c r="Z4" s="3165"/>
      <c r="AA4" s="3182" t="s">
        <v>2639</v>
      </c>
      <c r="AB4" s="3183" t="s">
        <v>2640</v>
      </c>
      <c r="AC4" s="3182" t="s">
        <v>2641</v>
      </c>
    </row>
    <row r="5" spans="1:29" ht="15">
      <c r="A5" s="403"/>
      <c r="B5" s="404"/>
      <c r="C5" s="3168" t="s">
        <v>2534</v>
      </c>
      <c r="D5" s="3169"/>
      <c r="E5" s="3194" t="str">
        <f>土地案例!A2</f>
        <v>定兴县新107国道东侧、吉祥路北侧</v>
      </c>
      <c r="F5" s="3195"/>
      <c r="G5" s="3168" t="str">
        <f>土地案例!A3</f>
        <v>定兴县新107国道西侧</v>
      </c>
      <c r="H5" s="3169"/>
      <c r="I5" s="3168" t="str">
        <f>土地案例!A4</f>
        <v>新107国道东侧、京港澳高速引线南侧</v>
      </c>
      <c r="J5" s="3169"/>
      <c r="K5" s="609"/>
      <c r="L5" s="1132"/>
      <c r="M5" s="1133"/>
      <c r="N5" s="1133"/>
      <c r="O5" s="1133"/>
      <c r="P5" s="3190"/>
      <c r="Q5" s="3191"/>
      <c r="R5" s="3166"/>
      <c r="S5" s="3167"/>
      <c r="T5" s="3166"/>
      <c r="U5" s="3167"/>
      <c r="V5" s="3178"/>
      <c r="W5" s="3178"/>
      <c r="X5" s="1815"/>
      <c r="Y5" s="3166"/>
      <c r="Z5" s="3167"/>
      <c r="AA5" s="3183"/>
      <c r="AB5" s="3183"/>
      <c r="AC5" s="3183"/>
    </row>
    <row r="6" spans="1:29" ht="15.75" thickBot="1">
      <c r="A6" s="405"/>
      <c r="B6" s="406"/>
      <c r="C6" s="3170" t="s">
        <v>2789</v>
      </c>
      <c r="D6" s="3171"/>
      <c r="E6" s="3173" t="s">
        <v>3300</v>
      </c>
      <c r="F6" s="3174"/>
      <c r="G6" s="3175" t="s">
        <v>3301</v>
      </c>
      <c r="H6" s="3171"/>
      <c r="I6" s="3175" t="s">
        <v>3302</v>
      </c>
      <c r="J6" s="3171"/>
      <c r="K6" s="609" t="s">
        <v>2539</v>
      </c>
      <c r="L6" s="1132"/>
      <c r="M6" s="1133"/>
      <c r="N6" s="1133"/>
      <c r="O6" s="1133"/>
      <c r="P6" s="3192"/>
      <c r="Q6" s="3193"/>
      <c r="R6" s="3166"/>
      <c r="S6" s="3167"/>
      <c r="T6" s="3176"/>
      <c r="U6" s="3177"/>
      <c r="V6" s="3178"/>
      <c r="W6" s="3178"/>
      <c r="X6" s="1815"/>
      <c r="Y6" s="3176"/>
      <c r="Z6" s="3177"/>
      <c r="AA6" s="3184"/>
      <c r="AB6" s="3184"/>
      <c r="AC6" s="3184"/>
    </row>
    <row r="7" spans="1:29" s="116" customFormat="1" ht="15.75" thickBot="1">
      <c r="A7" s="407" t="s">
        <v>2540</v>
      </c>
      <c r="B7" s="408"/>
      <c r="C7" s="409">
        <f>'数据-取费表'!B2</f>
        <v>43487</v>
      </c>
      <c r="D7" s="410">
        <v>100</v>
      </c>
      <c r="E7" s="411" t="str">
        <f>土地案例!AA2</f>
        <v>2018-11-09</v>
      </c>
      <c r="F7" s="412">
        <f>SUMIF(65:65,YEAR(E7)&amp;"-"&amp;INT((MONTH(E7)+2)/3),66:66)</f>
        <v>100</v>
      </c>
      <c r="G7" s="2697" t="str">
        <f>土地案例!AA3</f>
        <v>2018-08-01</v>
      </c>
      <c r="H7" s="410">
        <f>SUMIF(65:65,YEAR(G7)&amp;"-"&amp;INT((MONTH(G7)+2)/3),66:66)</f>
        <v>100</v>
      </c>
      <c r="I7" s="2697" t="str">
        <f>土地案例!AA4</f>
        <v>2018-08-01</v>
      </c>
      <c r="J7" s="410">
        <f>SUMIF(65:65,YEAR(I7)&amp;"-"&amp;INT((MONTH(I7)+2)/3),66:66)</f>
        <v>100</v>
      </c>
      <c r="K7" s="610"/>
      <c r="L7" s="1134"/>
      <c r="M7" s="1135"/>
      <c r="N7" s="1135"/>
      <c r="O7" s="1135"/>
      <c r="P7" s="3162" t="s">
        <v>2541</v>
      </c>
      <c r="Q7" s="3172"/>
      <c r="R7" s="769" t="s">
        <v>17</v>
      </c>
      <c r="S7" s="770">
        <f t="shared" ref="S7:S15" si="0">F7</f>
        <v>100</v>
      </c>
      <c r="T7" s="769" t="s">
        <v>17</v>
      </c>
      <c r="U7" s="770">
        <f t="shared" ref="U7:U15" si="1">H7</f>
        <v>100</v>
      </c>
      <c r="V7" s="769" t="s">
        <v>17</v>
      </c>
      <c r="W7" s="770">
        <f t="shared" ref="W7:W15" si="2">J7</f>
        <v>100</v>
      </c>
      <c r="X7" s="771"/>
      <c r="Y7" s="3162" t="s">
        <v>2541</v>
      </c>
      <c r="Z7" s="3163"/>
      <c r="AA7" s="772">
        <f>D7/F7</f>
        <v>1</v>
      </c>
      <c r="AB7" s="772">
        <f>D7/H7</f>
        <v>1</v>
      </c>
      <c r="AC7" s="772">
        <f>D7/J7</f>
        <v>1</v>
      </c>
    </row>
    <row r="8" spans="1:29" s="116" customFormat="1" ht="15.75" thickBot="1">
      <c r="A8" s="407" t="s">
        <v>2542</v>
      </c>
      <c r="B8" s="408"/>
      <c r="C8" s="413" t="s">
        <v>2543</v>
      </c>
      <c r="D8" s="410">
        <v>100</v>
      </c>
      <c r="E8" s="413" t="s">
        <v>2543</v>
      </c>
      <c r="F8" s="412">
        <f>SUMIF(68:68,E8,69:69)-SUMIF(68:68,C8,69:69)+100</f>
        <v>100</v>
      </c>
      <c r="G8" s="413" t="s">
        <v>2543</v>
      </c>
      <c r="H8" s="410">
        <f>SUMIF(68:68,G8,69:69)-SUMIF(68:68,C8,69:69)+100</f>
        <v>100</v>
      </c>
      <c r="I8" s="413" t="s">
        <v>2543</v>
      </c>
      <c r="J8" s="410">
        <f>SUMIF(68:68,I8,69:69)-SUMIF(68:68,C8,69:69)+100</f>
        <v>100</v>
      </c>
      <c r="K8" s="610"/>
      <c r="L8" s="1134"/>
      <c r="M8" s="1135"/>
      <c r="N8" s="1135"/>
      <c r="O8" s="1135"/>
      <c r="P8" s="3162" t="s">
        <v>2544</v>
      </c>
      <c r="Q8" s="3163"/>
      <c r="R8" s="769" t="s">
        <v>17</v>
      </c>
      <c r="S8" s="770">
        <f t="shared" si="0"/>
        <v>100</v>
      </c>
      <c r="T8" s="769" t="s">
        <v>17</v>
      </c>
      <c r="U8" s="770">
        <f t="shared" si="1"/>
        <v>100</v>
      </c>
      <c r="V8" s="769" t="s">
        <v>17</v>
      </c>
      <c r="W8" s="770">
        <f t="shared" si="2"/>
        <v>100</v>
      </c>
      <c r="X8" s="771"/>
      <c r="Y8" s="3162" t="s">
        <v>2544</v>
      </c>
      <c r="Z8" s="3163"/>
      <c r="AA8" s="772">
        <f t="shared" ref="AA8:AA40" si="3">D8/F8</f>
        <v>1</v>
      </c>
      <c r="AB8" s="772">
        <f t="shared" ref="AB8:AB40" si="4">D8/H8</f>
        <v>1</v>
      </c>
      <c r="AC8" s="772">
        <f t="shared" ref="AC8:AC40" si="5">D8/J8</f>
        <v>1</v>
      </c>
    </row>
    <row r="9" spans="1:29" s="116" customFormat="1">
      <c r="A9" s="414" t="s">
        <v>2545</v>
      </c>
      <c r="B9" s="71" t="s">
        <v>2546</v>
      </c>
      <c r="C9" s="2700" t="s">
        <v>6</v>
      </c>
      <c r="D9" s="134">
        <v>100</v>
      </c>
      <c r="E9" s="2700" t="s">
        <v>6</v>
      </c>
      <c r="F9" s="134">
        <f>SUMIF(70:70,E9,71:71)-SUMIF(70:70,C9,71:71)+100</f>
        <v>100</v>
      </c>
      <c r="G9" s="2700" t="s">
        <v>6</v>
      </c>
      <c r="H9" s="134">
        <f>SUMIF(70:70,G9,71:71)-SUMIF(70:70,C9,71:71)+100</f>
        <v>100</v>
      </c>
      <c r="I9" s="2700" t="s">
        <v>6</v>
      </c>
      <c r="J9" s="134">
        <f>SUMIF(70:70,I9,71:71)-SUMIF(70:70,C9,71:71)+100</f>
        <v>100</v>
      </c>
      <c r="K9" s="610"/>
      <c r="L9" s="1134"/>
      <c r="M9" s="1135"/>
      <c r="N9" s="1135"/>
      <c r="O9" s="1136"/>
      <c r="P9" s="3160" t="s">
        <v>2547</v>
      </c>
      <c r="Q9" s="1797" t="str">
        <f t="shared" ref="Q9:Q15" si="6">B9</f>
        <v>用途</v>
      </c>
      <c r="R9" s="769" t="s">
        <v>17</v>
      </c>
      <c r="S9" s="770">
        <f t="shared" si="0"/>
        <v>100</v>
      </c>
      <c r="T9" s="769" t="s">
        <v>17</v>
      </c>
      <c r="U9" s="770">
        <f t="shared" si="1"/>
        <v>100</v>
      </c>
      <c r="V9" s="769" t="s">
        <v>17</v>
      </c>
      <c r="W9" s="770">
        <f t="shared" si="2"/>
        <v>100</v>
      </c>
      <c r="X9" s="771"/>
      <c r="Y9" s="3015" t="s">
        <v>2548</v>
      </c>
      <c r="Z9" s="55" t="str">
        <f t="shared" ref="Z9:Z15" si="7">Q9</f>
        <v>用途</v>
      </c>
      <c r="AA9" s="772">
        <f t="shared" si="3"/>
        <v>1</v>
      </c>
      <c r="AB9" s="772">
        <f t="shared" si="4"/>
        <v>1</v>
      </c>
      <c r="AC9" s="772">
        <f t="shared" si="5"/>
        <v>1</v>
      </c>
    </row>
    <row r="10" spans="1:29" s="426" customFormat="1" ht="27">
      <c r="A10" s="420"/>
      <c r="B10" s="421" t="s">
        <v>2549</v>
      </c>
      <c r="C10" s="431">
        <f>'数据-取费表'!F6</f>
        <v>47.47</v>
      </c>
      <c r="D10" s="135">
        <v>100</v>
      </c>
      <c r="E10" s="431">
        <v>50</v>
      </c>
      <c r="F10" s="135">
        <f>ROUND(100/'数据-取费表'!G16,0)</f>
        <v>102</v>
      </c>
      <c r="G10" s="431">
        <v>50</v>
      </c>
      <c r="H10" s="135">
        <f>ROUND(100/'数据-取费表'!G16,0)</f>
        <v>102</v>
      </c>
      <c r="I10" s="431">
        <v>50</v>
      </c>
      <c r="J10" s="135">
        <f>ROUND(100/'数据-取费表'!G16,0)</f>
        <v>102</v>
      </c>
      <c r="K10" s="671"/>
      <c r="L10" s="1137"/>
      <c r="M10" s="1138"/>
      <c r="N10" s="1138"/>
      <c r="O10" s="1139"/>
      <c r="P10" s="3160"/>
      <c r="Q10" s="1797" t="str">
        <f t="shared" si="6"/>
        <v>土地使用年限（年）</v>
      </c>
      <c r="R10" s="769" t="s">
        <v>17</v>
      </c>
      <c r="S10" s="770">
        <f t="shared" si="0"/>
        <v>102</v>
      </c>
      <c r="T10" s="769" t="s">
        <v>17</v>
      </c>
      <c r="U10" s="770">
        <f t="shared" si="1"/>
        <v>102</v>
      </c>
      <c r="V10" s="769" t="s">
        <v>17</v>
      </c>
      <c r="W10" s="770">
        <f t="shared" si="2"/>
        <v>102</v>
      </c>
      <c r="X10" s="771"/>
      <c r="Y10" s="3015"/>
      <c r="Z10" s="55" t="str">
        <f t="shared" si="7"/>
        <v>土地使用年限（年）</v>
      </c>
      <c r="AA10" s="772">
        <f t="shared" si="3"/>
        <v>0.98039215686274506</v>
      </c>
      <c r="AB10" s="772">
        <f t="shared" si="4"/>
        <v>0.98039215686274506</v>
      </c>
      <c r="AC10" s="772">
        <f t="shared" si="5"/>
        <v>0.98039215686274506</v>
      </c>
    </row>
    <row r="11" spans="1:29" ht="15.75" thickBot="1">
      <c r="A11" s="427"/>
      <c r="B11" s="421" t="s">
        <v>2550</v>
      </c>
      <c r="C11" s="428">
        <f>'数据-汇总表'!I4</f>
        <v>0.7</v>
      </c>
      <c r="D11" s="135">
        <v>100</v>
      </c>
      <c r="E11" s="428">
        <f>土地案例!L2</f>
        <v>1</v>
      </c>
      <c r="F11" s="135">
        <f>LOOKUP(E11,75:75,76:76)-LOOKUP(C11,75:75,76:76)+100</f>
        <v>110</v>
      </c>
      <c r="G11" s="429">
        <f>土地案例!L3</f>
        <v>1</v>
      </c>
      <c r="H11" s="135">
        <f>LOOKUP(G11,75:75,76:76)-LOOKUP(C11,75:75,76:76)+100</f>
        <v>110</v>
      </c>
      <c r="I11" s="428">
        <f>土地案例!L4</f>
        <v>1</v>
      </c>
      <c r="J11" s="135">
        <f>LOOKUP(I11,75:75,76:76)-LOOKUP(C11,75:75,76:76)+100</f>
        <v>110</v>
      </c>
      <c r="K11" s="672">
        <f>'[1]土地比较法-工业'!$K$11</f>
        <v>10</v>
      </c>
      <c r="L11" s="1140"/>
      <c r="M11" s="1133"/>
      <c r="N11" s="1133"/>
      <c r="O11" s="1141"/>
      <c r="P11" s="3160"/>
      <c r="Q11" s="1797" t="str">
        <f t="shared" si="6"/>
        <v>容积率</v>
      </c>
      <c r="R11" s="769" t="s">
        <v>17</v>
      </c>
      <c r="S11" s="770">
        <f t="shared" si="0"/>
        <v>110</v>
      </c>
      <c r="T11" s="769" t="s">
        <v>17</v>
      </c>
      <c r="U11" s="770">
        <f t="shared" si="1"/>
        <v>110</v>
      </c>
      <c r="V11" s="769" t="s">
        <v>17</v>
      </c>
      <c r="W11" s="770">
        <f t="shared" si="2"/>
        <v>110</v>
      </c>
      <c r="X11" s="771"/>
      <c r="Y11" s="3015"/>
      <c r="Z11" s="55" t="str">
        <f t="shared" si="7"/>
        <v>容积率</v>
      </c>
      <c r="AA11" s="772">
        <f t="shared" si="3"/>
        <v>0.90909090909090906</v>
      </c>
      <c r="AB11" s="772">
        <f t="shared" si="4"/>
        <v>0.90909090909090906</v>
      </c>
      <c r="AC11" s="772">
        <f t="shared" si="5"/>
        <v>0.90909090909090906</v>
      </c>
    </row>
    <row r="12" spans="1:29" s="116" customFormat="1" ht="15" hidden="1">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60"/>
      <c r="Q12" s="1797">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772">
        <f>D12/J12</f>
        <v>1</v>
      </c>
    </row>
    <row r="13" spans="1:29" ht="15" hidden="1">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60"/>
      <c r="Q13" s="1797">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772">
        <f t="shared" si="5"/>
        <v>1</v>
      </c>
    </row>
    <row r="14" spans="1:29" ht="15.75" hidden="1"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60"/>
      <c r="Q14" s="1797">
        <f t="shared" si="6"/>
        <v>111</v>
      </c>
      <c r="R14" s="769" t="s">
        <v>17</v>
      </c>
      <c r="S14" s="770">
        <f t="shared" si="0"/>
        <v>100</v>
      </c>
      <c r="T14" s="769" t="s">
        <v>17</v>
      </c>
      <c r="U14" s="770">
        <f t="shared" si="1"/>
        <v>100</v>
      </c>
      <c r="V14" s="769" t="s">
        <v>17</v>
      </c>
      <c r="W14" s="770">
        <f t="shared" si="2"/>
        <v>100</v>
      </c>
      <c r="X14" s="771"/>
      <c r="Y14" s="3015"/>
      <c r="Z14" s="55">
        <f t="shared" si="7"/>
        <v>111</v>
      </c>
      <c r="AA14" s="772">
        <f t="shared" si="3"/>
        <v>1</v>
      </c>
      <c r="AB14" s="772">
        <f t="shared" si="4"/>
        <v>1</v>
      </c>
      <c r="AC14" s="772">
        <f t="shared" si="5"/>
        <v>1</v>
      </c>
    </row>
    <row r="15" spans="1:29" ht="15">
      <c r="A15" s="439" t="s">
        <v>2551</v>
      </c>
      <c r="B15" s="628" t="s">
        <v>2790</v>
      </c>
      <c r="C15" s="2694" t="str">
        <f>估价对象房地状况!G15</f>
        <v>较好</v>
      </c>
      <c r="D15" s="440">
        <v>100</v>
      </c>
      <c r="E15" s="441"/>
      <c r="F15" s="440">
        <f>SUMIF(83:83,E16,84:84)-SUMIF(83:83,C16,84:84)+100</f>
        <v>100</v>
      </c>
      <c r="G15" s="441"/>
      <c r="H15" s="440">
        <f>SUMIF(83:83,G16,84:84)-SUMIF(83:83,C16,84:84)+100</f>
        <v>100</v>
      </c>
      <c r="I15" s="443"/>
      <c r="J15" s="440">
        <f>SUMIF(83:83,I16,84:84)-SUMIF(83:83,C16,84:84)+100</f>
        <v>100</v>
      </c>
      <c r="K15" s="672">
        <v>2</v>
      </c>
      <c r="L15" s="1142"/>
      <c r="M15" s="1133"/>
      <c r="N15" s="1133"/>
      <c r="O15" s="1141"/>
      <c r="P15" s="3179" t="s">
        <v>2552</v>
      </c>
      <c r="Q15" s="1812" t="str">
        <f t="shared" si="6"/>
        <v>产业集聚程度</v>
      </c>
      <c r="R15" s="773" t="s">
        <v>17</v>
      </c>
      <c r="S15" s="774">
        <f t="shared" si="0"/>
        <v>100</v>
      </c>
      <c r="T15" s="773" t="s">
        <v>17</v>
      </c>
      <c r="U15" s="774">
        <f t="shared" si="1"/>
        <v>100</v>
      </c>
      <c r="V15" s="773" t="s">
        <v>17</v>
      </c>
      <c r="W15" s="774">
        <f t="shared" si="2"/>
        <v>100</v>
      </c>
      <c r="X15" s="1815"/>
      <c r="Y15" s="3179" t="s">
        <v>2552</v>
      </c>
      <c r="Z15" s="1816" t="str">
        <f t="shared" si="7"/>
        <v>产业集聚程度</v>
      </c>
      <c r="AA15" s="1813">
        <f t="shared" si="3"/>
        <v>1</v>
      </c>
      <c r="AB15" s="1813">
        <f t="shared" si="4"/>
        <v>1</v>
      </c>
      <c r="AC15" s="1813">
        <f t="shared" si="5"/>
        <v>1</v>
      </c>
    </row>
    <row r="16" spans="1:29" ht="15">
      <c r="A16" s="427"/>
      <c r="B16" s="629"/>
      <c r="C16" s="446" t="s">
        <v>3080</v>
      </c>
      <c r="D16" s="447"/>
      <c r="E16" s="446" t="s">
        <v>3080</v>
      </c>
      <c r="F16" s="447"/>
      <c r="G16" s="446" t="s">
        <v>3080</v>
      </c>
      <c r="H16" s="449"/>
      <c r="I16" s="446" t="s">
        <v>3080</v>
      </c>
      <c r="J16" s="447"/>
      <c r="K16" s="671"/>
      <c r="L16" s="1142"/>
      <c r="M16" s="1133"/>
      <c r="N16" s="1133"/>
      <c r="O16" s="1141"/>
      <c r="P16" s="3180"/>
      <c r="Q16" s="1812"/>
      <c r="R16" s="773"/>
      <c r="S16" s="774"/>
      <c r="T16" s="773"/>
      <c r="U16" s="774"/>
      <c r="V16" s="773"/>
      <c r="W16" s="774"/>
      <c r="X16" s="1815"/>
      <c r="Y16" s="3180"/>
      <c r="Z16" s="1816"/>
      <c r="AA16" s="1813">
        <v>1</v>
      </c>
      <c r="AB16" s="1813">
        <v>1</v>
      </c>
      <c r="AC16" s="1813">
        <v>1</v>
      </c>
    </row>
    <row r="17" spans="1:29" ht="15">
      <c r="A17" s="427"/>
      <c r="B17" s="630" t="s">
        <v>2701</v>
      </c>
      <c r="C17" s="2608" t="str">
        <f>估价对象房地状况!G16</f>
        <v>一般</v>
      </c>
      <c r="D17" s="449">
        <v>100</v>
      </c>
      <c r="E17" s="451"/>
      <c r="F17" s="454">
        <f>SUMIF(85:85,E18,86:86)-SUMIF(85:85,C18,86:86)+100</f>
        <v>100</v>
      </c>
      <c r="G17" s="451"/>
      <c r="H17" s="454">
        <f>SUMIF(85:85,G18,86:86)-SUMIF(85:85,C18,86:86)+100</f>
        <v>100</v>
      </c>
      <c r="I17" s="453"/>
      <c r="J17" s="449">
        <f>SUMIF(85:85,I18,86:86)-SUMIF(85:85,C18,86:86)+100</f>
        <v>100</v>
      </c>
      <c r="K17" s="672">
        <v>2</v>
      </c>
      <c r="L17" s="1142"/>
      <c r="M17" s="1133"/>
      <c r="N17" s="1133"/>
      <c r="O17" s="1141"/>
      <c r="P17" s="3180"/>
      <c r="Q17" s="1812" t="str">
        <f>B17</f>
        <v>交通便捷度</v>
      </c>
      <c r="R17" s="773" t="s">
        <v>17</v>
      </c>
      <c r="S17" s="774">
        <f>F17</f>
        <v>100</v>
      </c>
      <c r="T17" s="773" t="s">
        <v>17</v>
      </c>
      <c r="U17" s="774">
        <f>H17</f>
        <v>100</v>
      </c>
      <c r="V17" s="773" t="s">
        <v>17</v>
      </c>
      <c r="W17" s="774">
        <f>J17</f>
        <v>100</v>
      </c>
      <c r="X17" s="1815"/>
      <c r="Y17" s="3180"/>
      <c r="Z17" s="1816" t="str">
        <f>Q17</f>
        <v>交通便捷度</v>
      </c>
      <c r="AA17" s="1813">
        <f t="shared" si="3"/>
        <v>1</v>
      </c>
      <c r="AB17" s="1813">
        <f t="shared" si="4"/>
        <v>1</v>
      </c>
      <c r="AC17" s="1813">
        <f t="shared" si="5"/>
        <v>1</v>
      </c>
    </row>
    <row r="18" spans="1:29" ht="15">
      <c r="A18" s="427"/>
      <c r="B18" s="631"/>
      <c r="C18" s="446" t="s">
        <v>3082</v>
      </c>
      <c r="D18" s="447"/>
      <c r="E18" s="446" t="s">
        <v>3082</v>
      </c>
      <c r="F18" s="447"/>
      <c r="G18" s="446" t="s">
        <v>3082</v>
      </c>
      <c r="H18" s="447"/>
      <c r="I18" s="446" t="s">
        <v>3082</v>
      </c>
      <c r="J18" s="447"/>
      <c r="K18" s="671"/>
      <c r="L18" s="1142"/>
      <c r="M18" s="1133"/>
      <c r="N18" s="1133"/>
      <c r="O18" s="1141"/>
      <c r="P18" s="3180"/>
      <c r="Q18" s="1812"/>
      <c r="R18" s="773"/>
      <c r="S18" s="774"/>
      <c r="T18" s="773"/>
      <c r="U18" s="774"/>
      <c r="V18" s="773"/>
      <c r="W18" s="774"/>
      <c r="X18" s="1815"/>
      <c r="Y18" s="3180"/>
      <c r="Z18" s="1816"/>
      <c r="AA18" s="1813">
        <v>1</v>
      </c>
      <c r="AB18" s="1813">
        <v>1</v>
      </c>
      <c r="AC18" s="1813">
        <v>1</v>
      </c>
    </row>
    <row r="19" spans="1:29" ht="15">
      <c r="A19" s="427"/>
      <c r="B19" s="630" t="s">
        <v>2740</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42"/>
      <c r="M19" s="1133"/>
      <c r="N19" s="1133"/>
      <c r="O19" s="1141"/>
      <c r="P19" s="3180"/>
      <c r="Q19" s="1812" t="str">
        <f t="shared" ref="Q19:Q33" si="8">B19</f>
        <v>区域土地利用方向</v>
      </c>
      <c r="R19" s="773" t="s">
        <v>17</v>
      </c>
      <c r="S19" s="774">
        <f>F19</f>
        <v>100</v>
      </c>
      <c r="T19" s="773" t="s">
        <v>17</v>
      </c>
      <c r="U19" s="774">
        <f>H19</f>
        <v>100</v>
      </c>
      <c r="V19" s="773" t="s">
        <v>17</v>
      </c>
      <c r="W19" s="774">
        <f>J19</f>
        <v>100</v>
      </c>
      <c r="X19" s="1815"/>
      <c r="Y19" s="3180"/>
      <c r="Z19" s="1816" t="str">
        <f>Q19</f>
        <v>区域土地利用方向</v>
      </c>
      <c r="AA19" s="1813">
        <f t="shared" si="3"/>
        <v>1</v>
      </c>
      <c r="AB19" s="1813">
        <f t="shared" si="4"/>
        <v>1</v>
      </c>
      <c r="AC19" s="1813">
        <f t="shared" si="5"/>
        <v>1</v>
      </c>
    </row>
    <row r="20" spans="1:29" ht="15">
      <c r="A20" s="403"/>
      <c r="B20" s="631"/>
      <c r="C20" s="446" t="s">
        <v>3080</v>
      </c>
      <c r="D20" s="447"/>
      <c r="E20" s="446" t="s">
        <v>3080</v>
      </c>
      <c r="F20" s="447"/>
      <c r="G20" s="446" t="s">
        <v>3080</v>
      </c>
      <c r="H20" s="447"/>
      <c r="I20" s="446" t="s">
        <v>3080</v>
      </c>
      <c r="J20" s="447"/>
      <c r="K20" s="811"/>
      <c r="L20" s="1142"/>
      <c r="M20" s="1133"/>
      <c r="N20" s="1133"/>
      <c r="O20" s="1141"/>
      <c r="P20" s="3180"/>
      <c r="Q20" s="1812"/>
      <c r="R20" s="773"/>
      <c r="S20" s="774"/>
      <c r="T20" s="773"/>
      <c r="U20" s="774"/>
      <c r="V20" s="773"/>
      <c r="W20" s="774"/>
      <c r="X20" s="1815"/>
      <c r="Y20" s="3180"/>
      <c r="Z20" s="1816"/>
      <c r="AA20" s="1813"/>
      <c r="AB20" s="1813"/>
      <c r="AC20" s="1813"/>
    </row>
    <row r="21" spans="1:29" ht="15">
      <c r="A21" s="403"/>
      <c r="B21" s="630" t="s">
        <v>2791</v>
      </c>
      <c r="C21" s="2608" t="str">
        <f>估价对象房地状况!G18</f>
        <v>一般</v>
      </c>
      <c r="D21" s="449">
        <v>100</v>
      </c>
      <c r="E21" s="451"/>
      <c r="F21" s="449">
        <f>SUMIF(89:89,E22,90:90)-SUMIF(89:89,C22,90:90)+100</f>
        <v>100</v>
      </c>
      <c r="G21" s="451"/>
      <c r="H21" s="449">
        <f>SUMIF(89:89,G22,90:90)-SUMIF(89:89,C22,90:90)+100</f>
        <v>100</v>
      </c>
      <c r="I21" s="453"/>
      <c r="J21" s="449">
        <f>SUMIF(89:89,I22,90:90)-SUMIF(89:89,C22,90:90)+100</f>
        <v>100</v>
      </c>
      <c r="K21" s="672">
        <v>2</v>
      </c>
      <c r="L21" s="1142"/>
      <c r="M21" s="1133"/>
      <c r="N21" s="1133"/>
      <c r="O21" s="1141"/>
      <c r="P21" s="3180"/>
      <c r="Q21" s="1812" t="str">
        <f t="shared" si="8"/>
        <v>环境状况</v>
      </c>
      <c r="R21" s="773" t="s">
        <v>17</v>
      </c>
      <c r="S21" s="774">
        <f>F21</f>
        <v>100</v>
      </c>
      <c r="T21" s="773" t="s">
        <v>17</v>
      </c>
      <c r="U21" s="774">
        <f>H21</f>
        <v>100</v>
      </c>
      <c r="V21" s="773" t="s">
        <v>17</v>
      </c>
      <c r="W21" s="774">
        <f>J21</f>
        <v>100</v>
      </c>
      <c r="X21" s="1815"/>
      <c r="Y21" s="3180"/>
      <c r="Z21" s="1816" t="str">
        <f>Q21</f>
        <v>环境状况</v>
      </c>
      <c r="AA21" s="1813">
        <f t="shared" si="3"/>
        <v>1</v>
      </c>
      <c r="AB21" s="1813">
        <f t="shared" si="4"/>
        <v>1</v>
      </c>
      <c r="AC21" s="1813">
        <f t="shared" si="5"/>
        <v>1</v>
      </c>
    </row>
    <row r="22" spans="1:29" ht="15">
      <c r="A22" s="403"/>
      <c r="B22" s="631"/>
      <c r="C22" s="446" t="s">
        <v>3082</v>
      </c>
      <c r="D22" s="447"/>
      <c r="E22" s="446" t="s">
        <v>3082</v>
      </c>
      <c r="F22" s="447"/>
      <c r="G22" s="446" t="s">
        <v>3082</v>
      </c>
      <c r="H22" s="447"/>
      <c r="I22" s="446" t="s">
        <v>3082</v>
      </c>
      <c r="J22" s="447"/>
      <c r="K22" s="671"/>
      <c r="L22" s="1142"/>
      <c r="M22" s="1133"/>
      <c r="N22" s="1133"/>
      <c r="O22" s="1141"/>
      <c r="P22" s="3180"/>
      <c r="Q22" s="1812"/>
      <c r="R22" s="773"/>
      <c r="S22" s="774"/>
      <c r="T22" s="773"/>
      <c r="U22" s="774"/>
      <c r="V22" s="773"/>
      <c r="W22" s="774"/>
      <c r="X22" s="1815"/>
      <c r="Y22" s="3180"/>
      <c r="Z22" s="1816"/>
      <c r="AA22" s="1813">
        <v>1</v>
      </c>
      <c r="AB22" s="1813">
        <v>1</v>
      </c>
      <c r="AC22" s="1813">
        <v>1</v>
      </c>
    </row>
    <row r="23" spans="1:29" s="116" customFormat="1" ht="15">
      <c r="A23" s="648"/>
      <c r="B23" s="632" t="s">
        <v>2646</v>
      </c>
      <c r="C23" s="2608" t="str">
        <f>估价对象房地状况!G19</f>
        <v>一般</v>
      </c>
      <c r="D23" s="449">
        <v>100</v>
      </c>
      <c r="E23" s="451"/>
      <c r="F23" s="449">
        <f>SUMIF(91:91,E24,92:92)-SUMIF(91:91,C24,92:92)+100</f>
        <v>100</v>
      </c>
      <c r="G23" s="451"/>
      <c r="H23" s="449">
        <f>SUMIF(91:91,G24,92:92)-SUMIF(91:91,C24,92:92)+100</f>
        <v>100</v>
      </c>
      <c r="I23" s="453"/>
      <c r="J23" s="449">
        <f>SUMIF(91:91,I24,92:92)-SUMIF(91:91,C24,92:92)+100</f>
        <v>100</v>
      </c>
      <c r="K23" s="672">
        <v>2</v>
      </c>
      <c r="L23" s="1134"/>
      <c r="M23" s="1135"/>
      <c r="N23" s="1135"/>
      <c r="O23" s="1136"/>
      <c r="P23" s="3180"/>
      <c r="Q23" s="1797" t="str">
        <f t="shared" si="8"/>
        <v>公共配套设施</v>
      </c>
      <c r="R23" s="769" t="s">
        <v>17</v>
      </c>
      <c r="S23" s="770">
        <f>F23</f>
        <v>100</v>
      </c>
      <c r="T23" s="769" t="s">
        <v>17</v>
      </c>
      <c r="U23" s="770">
        <f>H23</f>
        <v>100</v>
      </c>
      <c r="V23" s="769" t="s">
        <v>17</v>
      </c>
      <c r="W23" s="770">
        <f>J23</f>
        <v>100</v>
      </c>
      <c r="X23" s="771"/>
      <c r="Y23" s="3180"/>
      <c r="Z23" s="55" t="str">
        <f>Q23</f>
        <v>公共配套设施</v>
      </c>
      <c r="AA23" s="1813">
        <f>D23/F23</f>
        <v>1</v>
      </c>
      <c r="AB23" s="1813">
        <f>D23/H23</f>
        <v>1</v>
      </c>
      <c r="AC23" s="1813">
        <f>D23/J23</f>
        <v>1</v>
      </c>
    </row>
    <row r="24" spans="1:29" s="116" customFormat="1" ht="15">
      <c r="A24" s="648"/>
      <c r="B24" s="631"/>
      <c r="C24" s="2701" t="s">
        <v>3082</v>
      </c>
      <c r="D24" s="447"/>
      <c r="E24" s="2701" t="s">
        <v>3082</v>
      </c>
      <c r="F24" s="447"/>
      <c r="G24" s="2701" t="s">
        <v>3082</v>
      </c>
      <c r="H24" s="447"/>
      <c r="I24" s="2701" t="s">
        <v>3082</v>
      </c>
      <c r="J24" s="447"/>
      <c r="K24" s="671"/>
      <c r="L24" s="1134"/>
      <c r="M24" s="1135"/>
      <c r="N24" s="1135"/>
      <c r="O24" s="1136"/>
      <c r="P24" s="3180"/>
      <c r="Q24" s="1797"/>
      <c r="R24" s="769"/>
      <c r="S24" s="770"/>
      <c r="T24" s="769"/>
      <c r="U24" s="770"/>
      <c r="V24" s="769"/>
      <c r="W24" s="770"/>
      <c r="X24" s="771"/>
      <c r="Y24" s="3180"/>
      <c r="Z24" s="55"/>
      <c r="AA24" s="772">
        <v>1</v>
      </c>
      <c r="AB24" s="772">
        <v>1</v>
      </c>
      <c r="AC24" s="772">
        <v>1</v>
      </c>
    </row>
    <row r="25" spans="1:29" s="116" customFormat="1" ht="15">
      <c r="A25" s="648"/>
      <c r="B25" s="632" t="s">
        <v>2647</v>
      </c>
      <c r="C25" s="2608" t="str">
        <f>估价对象房地状况!G20</f>
        <v>五通</v>
      </c>
      <c r="D25" s="449">
        <v>100</v>
      </c>
      <c r="E25" s="451"/>
      <c r="F25" s="449">
        <f>SUMIF(93:93,E26,94:94)-SUMIF(93:93,C26,94:94)+100</f>
        <v>100</v>
      </c>
      <c r="G25" s="451"/>
      <c r="H25" s="449">
        <f>SUMIF(93:93,G26,94:94)-SUMIF(93:93,C26,94:94)+100</f>
        <v>100</v>
      </c>
      <c r="I25" s="453"/>
      <c r="J25" s="449">
        <f>SUMIF(93:93,I26,94:94)-SUMIF(93:93,C26,94:94)+100</f>
        <v>100</v>
      </c>
      <c r="K25" s="672">
        <v>1</v>
      </c>
      <c r="L25" s="1134"/>
      <c r="M25" s="1135"/>
      <c r="N25" s="1135"/>
      <c r="O25" s="1136"/>
      <c r="P25" s="3180"/>
      <c r="Q25" s="1797" t="str">
        <f t="shared" ref="Q25" si="9">B25</f>
        <v>基础设施水平</v>
      </c>
      <c r="R25" s="769" t="s">
        <v>17</v>
      </c>
      <c r="S25" s="770">
        <f>F25</f>
        <v>100</v>
      </c>
      <c r="T25" s="769" t="s">
        <v>17</v>
      </c>
      <c r="U25" s="770">
        <f>H25</f>
        <v>100</v>
      </c>
      <c r="V25" s="769" t="s">
        <v>17</v>
      </c>
      <c r="W25" s="770">
        <f>J25</f>
        <v>100</v>
      </c>
      <c r="X25" s="771"/>
      <c r="Y25" s="3180"/>
      <c r="Z25" s="55" t="str">
        <f>Q25</f>
        <v>基础设施水平</v>
      </c>
      <c r="AA25" s="1813">
        <f>D25/F25</f>
        <v>1</v>
      </c>
      <c r="AB25" s="1813">
        <f>D25/H25</f>
        <v>1</v>
      </c>
      <c r="AC25" s="1813">
        <f>D25/J25</f>
        <v>1</v>
      </c>
    </row>
    <row r="26" spans="1:29" s="116" customFormat="1" ht="15">
      <c r="A26" s="648"/>
      <c r="B26" s="631"/>
      <c r="C26" s="2701" t="s">
        <v>3309</v>
      </c>
      <c r="D26" s="447"/>
      <c r="E26" s="2701" t="s">
        <v>3309</v>
      </c>
      <c r="F26" s="447"/>
      <c r="G26" s="2701" t="s">
        <v>3309</v>
      </c>
      <c r="H26" s="447"/>
      <c r="I26" s="2701" t="s">
        <v>3309</v>
      </c>
      <c r="J26" s="447"/>
      <c r="K26" s="671"/>
      <c r="L26" s="1134"/>
      <c r="M26" s="1135"/>
      <c r="N26" s="1135"/>
      <c r="O26" s="1136"/>
      <c r="P26" s="3180"/>
      <c r="Q26" s="1797"/>
      <c r="R26" s="769"/>
      <c r="S26" s="770"/>
      <c r="T26" s="769"/>
      <c r="U26" s="770"/>
      <c r="V26" s="769"/>
      <c r="W26" s="770"/>
      <c r="X26" s="771"/>
      <c r="Y26" s="3180"/>
      <c r="Z26" s="55"/>
      <c r="AA26" s="772">
        <v>1</v>
      </c>
      <c r="AB26" s="772">
        <v>1</v>
      </c>
      <c r="AC26" s="772">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0"/>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80"/>
      <c r="Z27" s="1816" t="str">
        <f t="shared" ref="Z27:Z40" si="13">Q27</f>
        <v>临街状况</v>
      </c>
      <c r="AA27" s="1813">
        <f t="shared" si="3"/>
        <v>1</v>
      </c>
      <c r="AB27" s="1813">
        <f t="shared" si="4"/>
        <v>1</v>
      </c>
      <c r="AC27" s="1813">
        <f t="shared" si="5"/>
        <v>1</v>
      </c>
    </row>
    <row r="28" spans="1:29" ht="27">
      <c r="A28" s="427"/>
      <c r="B28" s="632" t="s">
        <v>2683</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0"/>
      <c r="Q28" s="1812" t="str">
        <f t="shared" si="8"/>
        <v>毗邻道路的类型与等级</v>
      </c>
      <c r="R28" s="773" t="s">
        <v>17</v>
      </c>
      <c r="S28" s="774">
        <f t="shared" si="10"/>
        <v>100</v>
      </c>
      <c r="T28" s="773" t="s">
        <v>17</v>
      </c>
      <c r="U28" s="774">
        <f t="shared" si="11"/>
        <v>100</v>
      </c>
      <c r="V28" s="773" t="s">
        <v>17</v>
      </c>
      <c r="W28" s="774">
        <f t="shared" si="12"/>
        <v>100</v>
      </c>
      <c r="X28" s="1815"/>
      <c r="Y28" s="3180"/>
      <c r="Z28" s="1816" t="str">
        <f t="shared" si="13"/>
        <v>毗邻道路的类型与等级</v>
      </c>
      <c r="AA28" s="1813">
        <f t="shared" si="3"/>
        <v>1</v>
      </c>
      <c r="AB28" s="1813">
        <f t="shared" si="4"/>
        <v>1</v>
      </c>
      <c r="AC28" s="1813">
        <f t="shared" si="5"/>
        <v>1</v>
      </c>
    </row>
    <row r="29" spans="1:29" ht="15.75" thickBot="1">
      <c r="A29" s="427"/>
      <c r="B29" s="631"/>
      <c r="C29" s="446"/>
      <c r="D29" s="447"/>
      <c r="E29" s="2612"/>
      <c r="F29" s="447"/>
      <c r="G29" s="2612"/>
      <c r="H29" s="447"/>
      <c r="I29" s="2612"/>
      <c r="J29" s="447"/>
      <c r="K29" s="612"/>
      <c r="L29" s="1142"/>
      <c r="M29" s="1133"/>
      <c r="N29" s="1133"/>
      <c r="O29" s="1141"/>
      <c r="P29" s="3180"/>
      <c r="Q29" s="1812"/>
      <c r="R29" s="773"/>
      <c r="S29" s="774"/>
      <c r="T29" s="773"/>
      <c r="U29" s="774"/>
      <c r="V29" s="773"/>
      <c r="W29" s="774"/>
      <c r="X29" s="1815"/>
      <c r="Y29" s="3180"/>
      <c r="Z29" s="1816"/>
      <c r="AA29" s="1813">
        <v>1</v>
      </c>
      <c r="AB29" s="1813">
        <v>1</v>
      </c>
      <c r="AC29" s="1813">
        <v>1</v>
      </c>
    </row>
    <row r="30" spans="1:29" ht="15" hidden="1">
      <c r="A30" s="427"/>
      <c r="B30" s="653" t="s">
        <v>2742</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0"/>
      <c r="Q30" s="1812" t="str">
        <f t="shared" si="8"/>
        <v>土地级别</v>
      </c>
      <c r="R30" s="773" t="s">
        <v>17</v>
      </c>
      <c r="S30" s="774">
        <f t="shared" si="10"/>
        <v>100</v>
      </c>
      <c r="T30" s="773" t="s">
        <v>17</v>
      </c>
      <c r="U30" s="774">
        <f t="shared" si="11"/>
        <v>100</v>
      </c>
      <c r="V30" s="773" t="s">
        <v>17</v>
      </c>
      <c r="W30" s="774">
        <f t="shared" si="12"/>
        <v>100</v>
      </c>
      <c r="X30" s="1815"/>
      <c r="Y30" s="3180"/>
      <c r="Z30" s="1816" t="str">
        <f t="shared" si="13"/>
        <v>土地级别</v>
      </c>
      <c r="AA30" s="1813">
        <f t="shared" si="3"/>
        <v>1</v>
      </c>
      <c r="AB30" s="1813">
        <f t="shared" si="4"/>
        <v>1</v>
      </c>
      <c r="AC30" s="1813">
        <f t="shared" si="5"/>
        <v>1</v>
      </c>
    </row>
    <row r="31" spans="1:29" ht="15" hidden="1">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0"/>
      <c r="Q31" s="1812">
        <f t="shared" si="8"/>
        <v>111</v>
      </c>
      <c r="R31" s="773" t="s">
        <v>17</v>
      </c>
      <c r="S31" s="774">
        <f t="shared" si="10"/>
        <v>100</v>
      </c>
      <c r="T31" s="773" t="s">
        <v>17</v>
      </c>
      <c r="U31" s="774">
        <f t="shared" si="11"/>
        <v>100</v>
      </c>
      <c r="V31" s="773" t="s">
        <v>17</v>
      </c>
      <c r="W31" s="774">
        <f t="shared" si="12"/>
        <v>100</v>
      </c>
      <c r="X31" s="1815"/>
      <c r="Y31" s="3180"/>
      <c r="Z31" s="1816">
        <f t="shared" si="13"/>
        <v>111</v>
      </c>
      <c r="AA31" s="1813">
        <f t="shared" si="3"/>
        <v>1</v>
      </c>
      <c r="AB31" s="1813">
        <f t="shared" si="4"/>
        <v>1</v>
      </c>
      <c r="AC31" s="1813">
        <f t="shared" si="5"/>
        <v>1</v>
      </c>
    </row>
    <row r="32" spans="1:29" ht="15" hidden="1">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96" t="s">
        <v>2557</v>
      </c>
      <c r="Q32" s="1812">
        <f t="shared" si="8"/>
        <v>111</v>
      </c>
      <c r="R32" s="773" t="s">
        <v>17</v>
      </c>
      <c r="S32" s="774">
        <f t="shared" si="10"/>
        <v>100</v>
      </c>
      <c r="T32" s="773" t="s">
        <v>17</v>
      </c>
      <c r="U32" s="774">
        <f t="shared" si="11"/>
        <v>100</v>
      </c>
      <c r="V32" s="773" t="s">
        <v>17</v>
      </c>
      <c r="W32" s="774">
        <f t="shared" si="12"/>
        <v>100</v>
      </c>
      <c r="X32" s="1815"/>
      <c r="Y32" s="3181" t="s">
        <v>2557</v>
      </c>
      <c r="Z32" s="1816">
        <f t="shared" si="13"/>
        <v>111</v>
      </c>
      <c r="AA32" s="1813">
        <f t="shared" si="3"/>
        <v>1</v>
      </c>
      <c r="AB32" s="1813">
        <f t="shared" si="4"/>
        <v>1</v>
      </c>
      <c r="AC32" s="1813">
        <f t="shared" si="5"/>
        <v>1</v>
      </c>
    </row>
    <row r="33" spans="1:29" s="470" customFormat="1" ht="15.75" hidden="1"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1"/>
      <c r="Q33" s="1812">
        <f t="shared" si="8"/>
        <v>111</v>
      </c>
      <c r="R33" s="776" t="s">
        <v>17</v>
      </c>
      <c r="S33" s="777">
        <f t="shared" si="10"/>
        <v>100</v>
      </c>
      <c r="T33" s="776" t="s">
        <v>17</v>
      </c>
      <c r="U33" s="777">
        <f t="shared" si="11"/>
        <v>100</v>
      </c>
      <c r="V33" s="776" t="s">
        <v>17</v>
      </c>
      <c r="W33" s="777">
        <f t="shared" si="12"/>
        <v>100</v>
      </c>
      <c r="X33" s="778"/>
      <c r="Y33" s="3181"/>
      <c r="Z33" s="779">
        <f t="shared" si="13"/>
        <v>111</v>
      </c>
      <c r="AA33" s="1813">
        <f t="shared" si="3"/>
        <v>1</v>
      </c>
      <c r="AB33" s="1813">
        <f t="shared" si="4"/>
        <v>1</v>
      </c>
      <c r="AC33" s="1813">
        <f t="shared" si="5"/>
        <v>1</v>
      </c>
    </row>
    <row r="34" spans="1:29" ht="15">
      <c r="A34" s="439" t="s">
        <v>2555</v>
      </c>
      <c r="B34" s="455" t="s">
        <v>2743</v>
      </c>
      <c r="C34" s="678">
        <f>'数据-汇总表'!D3</f>
        <v>25697.15</v>
      </c>
      <c r="D34" s="466">
        <v>100</v>
      </c>
      <c r="E34" s="678">
        <f>土地案例!J2</f>
        <v>11442.82</v>
      </c>
      <c r="F34" s="466">
        <f>LOOKUP(E34,108:108,109:109)-LOOKUP(C34,108:108,109:109)+100</f>
        <v>99</v>
      </c>
      <c r="G34" s="678">
        <f>土地案例!J3</f>
        <v>10012</v>
      </c>
      <c r="H34" s="466">
        <f>LOOKUP(G34,108:108,109:109)-LOOKUP(C34,108:108,109:109)+100</f>
        <v>99</v>
      </c>
      <c r="I34" s="529">
        <f>土地案例!J4</f>
        <v>54125.4</v>
      </c>
      <c r="J34" s="466">
        <f>LOOKUP(I34,108:108,109:109)-LOOKUP(C34,108:108,109:109)+100</f>
        <v>103</v>
      </c>
      <c r="K34" s="612"/>
      <c r="L34" s="1142"/>
      <c r="M34" s="1133"/>
      <c r="N34" s="1133"/>
      <c r="O34" s="1141"/>
      <c r="P34" s="3181"/>
      <c r="Q34" s="1812" t="str">
        <f>B34</f>
        <v>宗地面积</v>
      </c>
      <c r="R34" s="773" t="s">
        <v>17</v>
      </c>
      <c r="S34" s="774">
        <f t="shared" si="10"/>
        <v>99</v>
      </c>
      <c r="T34" s="773" t="s">
        <v>17</v>
      </c>
      <c r="U34" s="774">
        <f t="shared" si="11"/>
        <v>99</v>
      </c>
      <c r="V34" s="773" t="s">
        <v>17</v>
      </c>
      <c r="W34" s="774">
        <f t="shared" si="12"/>
        <v>103</v>
      </c>
      <c r="X34" s="1815"/>
      <c r="Y34" s="3181"/>
      <c r="Z34" s="1816" t="str">
        <f t="shared" si="13"/>
        <v>宗地面积</v>
      </c>
      <c r="AA34" s="1813">
        <f t="shared" si="3"/>
        <v>1.0101010101010102</v>
      </c>
      <c r="AB34" s="1813">
        <f t="shared" si="4"/>
        <v>1.0101010101010102</v>
      </c>
      <c r="AC34" s="1813">
        <f t="shared" si="5"/>
        <v>0.970873786407767</v>
      </c>
    </row>
    <row r="35" spans="1:29" ht="15">
      <c r="A35" s="471"/>
      <c r="B35" s="421" t="s">
        <v>2744</v>
      </c>
      <c r="C35" s="2614" t="s">
        <v>3305</v>
      </c>
      <c r="D35" s="434">
        <v>100</v>
      </c>
      <c r="E35" s="2614" t="s">
        <v>3305</v>
      </c>
      <c r="F35" s="434">
        <f>SUMIF(110:110,E35,111:111)-SUMIF(110:110,C35,111:111)+100</f>
        <v>100</v>
      </c>
      <c r="G35" s="2614" t="s">
        <v>3305</v>
      </c>
      <c r="H35" s="434">
        <f>SUMIF(110:110,G35,111:111)-SUMIF(110:110,C35,111:111)+100</f>
        <v>100</v>
      </c>
      <c r="I35" s="2614" t="s">
        <v>3305</v>
      </c>
      <c r="J35" s="434">
        <f>SUMIF(110:110,I35,111:111)-SUMIF(110:110,C35,111:111)+100</f>
        <v>100</v>
      </c>
      <c r="K35" s="611">
        <v>2</v>
      </c>
      <c r="L35" s="1142"/>
      <c r="M35" s="1133"/>
      <c r="N35" s="1133"/>
      <c r="O35" s="1141"/>
      <c r="P35" s="3181"/>
      <c r="Q35" s="1812" t="str">
        <f t="shared" ref="Q35:Q40" si="14">B35</f>
        <v>宗地形状</v>
      </c>
      <c r="R35" s="773" t="s">
        <v>17</v>
      </c>
      <c r="S35" s="774">
        <f t="shared" si="10"/>
        <v>100</v>
      </c>
      <c r="T35" s="773" t="s">
        <v>17</v>
      </c>
      <c r="U35" s="774">
        <f t="shared" si="11"/>
        <v>100</v>
      </c>
      <c r="V35" s="773" t="s">
        <v>17</v>
      </c>
      <c r="W35" s="774">
        <f t="shared" si="12"/>
        <v>100</v>
      </c>
      <c r="X35" s="1815"/>
      <c r="Y35" s="3181"/>
      <c r="Z35" s="1816" t="str">
        <f t="shared" si="13"/>
        <v>宗地形状</v>
      </c>
      <c r="AA35" s="1813">
        <f t="shared" si="3"/>
        <v>1</v>
      </c>
      <c r="AB35" s="1813">
        <f t="shared" si="4"/>
        <v>1</v>
      </c>
      <c r="AC35" s="1813">
        <f t="shared" si="5"/>
        <v>1</v>
      </c>
    </row>
    <row r="36" spans="1:29" s="116" customFormat="1" ht="15">
      <c r="A36" s="472"/>
      <c r="B36" s="421" t="s">
        <v>2746</v>
      </c>
      <c r="C36" s="2703" t="s">
        <v>3309</v>
      </c>
      <c r="D36" s="135">
        <v>100</v>
      </c>
      <c r="E36" s="2703" t="s">
        <v>3309</v>
      </c>
      <c r="F36" s="434">
        <f>SUMIF(112:112,E36,113:113)-SUMIF(112:112,C36,113:113)+100</f>
        <v>100</v>
      </c>
      <c r="G36" s="2703" t="s">
        <v>3309</v>
      </c>
      <c r="H36" s="434">
        <f>SUMIF(112:112,G36,113:113)-SUMIF(112:112,C36,113:113)+100</f>
        <v>100</v>
      </c>
      <c r="I36" s="2703" t="s">
        <v>3309</v>
      </c>
      <c r="J36" s="434">
        <f>SUMIF(112:112,I36,113:113)-SUMIF(112:112,C36,113:113)+100</f>
        <v>100</v>
      </c>
      <c r="K36" s="611">
        <v>1</v>
      </c>
      <c r="L36" s="1134"/>
      <c r="M36" s="1135"/>
      <c r="N36" s="1135"/>
      <c r="O36" s="1136"/>
      <c r="P36" s="3181"/>
      <c r="Q36" s="1812" t="str">
        <f t="shared" si="14"/>
        <v>宗地开发程度</v>
      </c>
      <c r="R36" s="769" t="s">
        <v>17</v>
      </c>
      <c r="S36" s="770">
        <f t="shared" si="10"/>
        <v>100</v>
      </c>
      <c r="T36" s="769" t="s">
        <v>17</v>
      </c>
      <c r="U36" s="770">
        <f t="shared" si="11"/>
        <v>100</v>
      </c>
      <c r="V36" s="769" t="s">
        <v>17</v>
      </c>
      <c r="W36" s="770">
        <f t="shared" si="12"/>
        <v>100</v>
      </c>
      <c r="X36" s="771"/>
      <c r="Y36" s="3181"/>
      <c r="Z36" s="55" t="str">
        <f t="shared" si="13"/>
        <v>宗地开发程度</v>
      </c>
      <c r="AA36" s="772">
        <f t="shared" si="3"/>
        <v>1</v>
      </c>
      <c r="AB36" s="772">
        <f t="shared" si="4"/>
        <v>1</v>
      </c>
      <c r="AC36" s="772">
        <f t="shared" si="5"/>
        <v>1</v>
      </c>
    </row>
    <row r="37" spans="1:29" ht="15.75" thickBot="1">
      <c r="A37" s="471"/>
      <c r="B37" s="421" t="s">
        <v>2747</v>
      </c>
      <c r="C37" s="2614" t="s">
        <v>3080</v>
      </c>
      <c r="D37" s="434">
        <v>100</v>
      </c>
      <c r="E37" s="2614" t="s">
        <v>3080</v>
      </c>
      <c r="F37" s="434">
        <f>SUMIF(114:114,E37,115:115)-SUMIF(114:114,C37,115:115)+100</f>
        <v>100</v>
      </c>
      <c r="G37" s="2614" t="s">
        <v>3080</v>
      </c>
      <c r="H37" s="434">
        <f>SUMIF(114:114,G37,115:115)-SUMIF(114:114,C37,115:115)+100</f>
        <v>100</v>
      </c>
      <c r="I37" s="2614" t="s">
        <v>3080</v>
      </c>
      <c r="J37" s="434">
        <f>SUMIF(114:114,I37,115:115)-SUMIF(114:114,C37,115:115)+100</f>
        <v>100</v>
      </c>
      <c r="K37" s="611">
        <v>2</v>
      </c>
      <c r="L37" s="1142"/>
      <c r="M37" s="1133"/>
      <c r="N37" s="1133"/>
      <c r="O37" s="1141"/>
      <c r="P37" s="3181" t="s">
        <v>2557</v>
      </c>
      <c r="Q37" s="1812" t="str">
        <f t="shared" si="14"/>
        <v>工程地质条件</v>
      </c>
      <c r="R37" s="773" t="s">
        <v>17</v>
      </c>
      <c r="S37" s="774">
        <f t="shared" si="10"/>
        <v>100</v>
      </c>
      <c r="T37" s="773" t="s">
        <v>17</v>
      </c>
      <c r="U37" s="774">
        <f t="shared" si="11"/>
        <v>100</v>
      </c>
      <c r="V37" s="773" t="s">
        <v>17</v>
      </c>
      <c r="W37" s="774">
        <f t="shared" si="12"/>
        <v>100</v>
      </c>
      <c r="X37" s="1815"/>
      <c r="Y37" s="3181" t="s">
        <v>2557</v>
      </c>
      <c r="Z37" s="1816" t="str">
        <f t="shared" si="13"/>
        <v>工程地质条件</v>
      </c>
      <c r="AA37" s="1813">
        <f t="shared" si="3"/>
        <v>1</v>
      </c>
      <c r="AB37" s="1813">
        <f t="shared" si="4"/>
        <v>1</v>
      </c>
      <c r="AC37" s="1813">
        <f t="shared" si="5"/>
        <v>1</v>
      </c>
    </row>
    <row r="38" spans="1:29" ht="15" hidden="1">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1"/>
      <c r="Q38" s="1812">
        <f t="shared" si="14"/>
        <v>111</v>
      </c>
      <c r="R38" s="773" t="s">
        <v>17</v>
      </c>
      <c r="S38" s="774">
        <f t="shared" si="10"/>
        <v>100</v>
      </c>
      <c r="T38" s="773" t="s">
        <v>17</v>
      </c>
      <c r="U38" s="774">
        <f t="shared" si="11"/>
        <v>100</v>
      </c>
      <c r="V38" s="773" t="s">
        <v>17</v>
      </c>
      <c r="W38" s="774">
        <f t="shared" si="12"/>
        <v>100</v>
      </c>
      <c r="X38" s="1815"/>
      <c r="Y38" s="3181"/>
      <c r="Z38" s="1816">
        <f t="shared" si="13"/>
        <v>111</v>
      </c>
      <c r="AA38" s="1813">
        <f t="shared" si="3"/>
        <v>1</v>
      </c>
      <c r="AB38" s="1813">
        <f t="shared" si="4"/>
        <v>1</v>
      </c>
      <c r="AC38" s="1813">
        <f t="shared" si="5"/>
        <v>1</v>
      </c>
    </row>
    <row r="39" spans="1:29" ht="15" hidden="1">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1"/>
      <c r="Q39" s="1812">
        <f t="shared" si="14"/>
        <v>111</v>
      </c>
      <c r="R39" s="773" t="s">
        <v>17</v>
      </c>
      <c r="S39" s="774">
        <f t="shared" si="10"/>
        <v>100</v>
      </c>
      <c r="T39" s="773" t="s">
        <v>17</v>
      </c>
      <c r="U39" s="774">
        <f t="shared" si="11"/>
        <v>100</v>
      </c>
      <c r="V39" s="773" t="s">
        <v>17</v>
      </c>
      <c r="W39" s="774">
        <f t="shared" si="12"/>
        <v>100</v>
      </c>
      <c r="X39" s="1815"/>
      <c r="Y39" s="3181"/>
      <c r="Z39" s="1816">
        <f t="shared" si="13"/>
        <v>111</v>
      </c>
      <c r="AA39" s="1813">
        <f t="shared" si="3"/>
        <v>1</v>
      </c>
      <c r="AB39" s="1813">
        <f t="shared" si="4"/>
        <v>1</v>
      </c>
      <c r="AC39" s="1813">
        <f t="shared" si="5"/>
        <v>1</v>
      </c>
    </row>
    <row r="40" spans="1:29" s="470" customFormat="1" ht="15.75" hidden="1" thickBot="1">
      <c r="A40" s="467"/>
      <c r="B40" s="1389">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1"/>
      <c r="Q40" s="1812">
        <f t="shared" si="14"/>
        <v>111</v>
      </c>
      <c r="R40" s="776" t="s">
        <v>17</v>
      </c>
      <c r="S40" s="777">
        <f t="shared" si="10"/>
        <v>100</v>
      </c>
      <c r="T40" s="776" t="s">
        <v>17</v>
      </c>
      <c r="U40" s="777">
        <f t="shared" si="11"/>
        <v>100</v>
      </c>
      <c r="V40" s="776" t="s">
        <v>17</v>
      </c>
      <c r="W40" s="777">
        <f t="shared" si="12"/>
        <v>100</v>
      </c>
      <c r="X40" s="778"/>
      <c r="Y40" s="3181"/>
      <c r="Z40" s="779">
        <f t="shared" si="13"/>
        <v>111</v>
      </c>
      <c r="AA40" s="1813">
        <f t="shared" si="3"/>
        <v>1</v>
      </c>
      <c r="AB40" s="1813">
        <f t="shared" si="4"/>
        <v>1</v>
      </c>
      <c r="AC40" s="1813">
        <f t="shared" si="5"/>
        <v>1</v>
      </c>
    </row>
    <row r="41" spans="1:29" ht="15">
      <c r="A41" s="478" t="s">
        <v>2712</v>
      </c>
      <c r="B41" s="2705" t="s">
        <v>3319</v>
      </c>
      <c r="C41" s="681" t="s">
        <v>1</v>
      </c>
      <c r="D41" s="480"/>
      <c r="E41" s="481">
        <f>土地案例!AN2</f>
        <v>454</v>
      </c>
      <c r="F41" s="482"/>
      <c r="G41" s="483">
        <f>土地案例!AN3</f>
        <v>455</v>
      </c>
      <c r="H41" s="484"/>
      <c r="I41" s="481">
        <f>土地案例!AN4</f>
        <v>454</v>
      </c>
      <c r="J41" s="484"/>
      <c r="K41" s="782"/>
      <c r="L41" s="1145"/>
      <c r="M41" s="1133"/>
      <c r="N41" s="1133"/>
      <c r="O41" s="1146"/>
      <c r="P41" s="3160" t="str">
        <f>A41</f>
        <v>成交单价</v>
      </c>
      <c r="Q41" s="3160"/>
      <c r="R41" s="3178">
        <f>E41</f>
        <v>454</v>
      </c>
      <c r="S41" s="3178"/>
      <c r="T41" s="3178">
        <f>G41</f>
        <v>455</v>
      </c>
      <c r="U41" s="3178"/>
      <c r="V41" s="3178">
        <f>I41</f>
        <v>454</v>
      </c>
      <c r="W41" s="3178"/>
      <c r="X41" s="758"/>
      <c r="Y41" s="780"/>
      <c r="Z41" s="758"/>
      <c r="AA41" s="758"/>
      <c r="AB41" s="758"/>
      <c r="AC41" s="758"/>
    </row>
    <row r="42" spans="1:29" ht="15.75" thickBot="1">
      <c r="A42" s="485" t="s">
        <v>2661</v>
      </c>
      <c r="B42" s="682"/>
      <c r="C42" s="489">
        <f>R43</f>
        <v>404</v>
      </c>
      <c r="D42" s="488"/>
      <c r="E42" s="489">
        <f>R42</f>
        <v>409</v>
      </c>
      <c r="F42" s="490"/>
      <c r="G42" s="487">
        <f>T42</f>
        <v>410</v>
      </c>
      <c r="H42" s="488"/>
      <c r="I42" s="489">
        <f>V42</f>
        <v>393</v>
      </c>
      <c r="J42" s="488"/>
      <c r="K42" s="783"/>
      <c r="L42" s="1145"/>
      <c r="M42" s="1133"/>
      <c r="N42" s="1133"/>
      <c r="O42" s="1146"/>
      <c r="P42" s="3160" t="str">
        <f>A42</f>
        <v>比较价值（元/平方米）</v>
      </c>
      <c r="Q42" s="3160"/>
      <c r="R42" s="3200">
        <f>ROUND(PRODUCT(R41,AA7:AA40),0)</f>
        <v>409</v>
      </c>
      <c r="S42" s="3200"/>
      <c r="T42" s="3200">
        <f>ROUND(PRODUCT(T41,AB7:AB40),0)</f>
        <v>410</v>
      </c>
      <c r="U42" s="3200"/>
      <c r="V42" s="3200">
        <f>ROUND(PRODUCT(V41,AC7:AC40),0)</f>
        <v>393</v>
      </c>
      <c r="W42" s="3200"/>
      <c r="X42" s="758"/>
      <c r="Y42" s="758"/>
      <c r="Z42" s="758"/>
      <c r="AA42" s="758"/>
      <c r="AB42" s="758"/>
      <c r="AC42" s="758"/>
    </row>
    <row r="43" spans="1:29" ht="15.75" thickBot="1">
      <c r="A43" s="491" t="s">
        <v>2662</v>
      </c>
      <c r="B43" s="492"/>
      <c r="C43" s="493">
        <f>R43</f>
        <v>404</v>
      </c>
      <c r="D43" s="493"/>
      <c r="E43" s="493"/>
      <c r="F43" s="493"/>
      <c r="G43" s="493"/>
      <c r="H43" s="493"/>
      <c r="I43" s="493"/>
      <c r="J43" s="493"/>
      <c r="K43" s="784"/>
      <c r="L43" s="1145"/>
      <c r="M43" s="1133"/>
      <c r="N43" s="1133"/>
      <c r="O43" s="1146"/>
      <c r="P43" s="3197" t="str">
        <f>A43</f>
        <v>估价对象XX用房的比较价值（楼面单价，元/平方米）</v>
      </c>
      <c r="Q43" s="3198"/>
      <c r="R43" s="3199">
        <f>ROUND(AVERAGE(R42:V42),0)</f>
        <v>404</v>
      </c>
      <c r="S43" s="3199"/>
      <c r="T43" s="3199"/>
      <c r="U43" s="3199"/>
      <c r="V43" s="3199"/>
      <c r="W43" s="3199"/>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2663</v>
      </c>
      <c r="D46" s="497"/>
      <c r="E46" s="498">
        <f>IF(E41&lt;E42,E42/E41-1,E41/E42-1)</f>
        <v>0.11002444987775051</v>
      </c>
      <c r="F46" s="499" t="str">
        <f>IF(OR(E46&gt;=0.3,E46&lt;=-0.3),"超过30%","")</f>
        <v/>
      </c>
      <c r="G46" s="498">
        <f>IF(G41&lt;G42,G42/G41-1,G41/G42-1)</f>
        <v>0.10975609756097571</v>
      </c>
      <c r="H46" s="499" t="str">
        <f>IF(OR(G46&gt;=0.3,G46&lt;=-0.3),"超过30%","")</f>
        <v/>
      </c>
      <c r="I46" s="498">
        <f>IF(I41&lt;I42,I42/I41-1,I41/I42-1)</f>
        <v>0.15521628498727735</v>
      </c>
      <c r="J46" s="499" t="str">
        <f>IF(OR(I46&gt;=0.3,I46&lt;=-0.3),"超过30%","")</f>
        <v/>
      </c>
      <c r="K46" s="1107"/>
      <c r="L46" s="1108"/>
      <c r="M46" s="1133"/>
      <c r="N46" s="1133"/>
      <c r="O46" s="1146"/>
    </row>
    <row r="47" spans="1:29" ht="13.5" customHeight="1">
      <c r="A47" s="1146"/>
      <c r="B47" s="1146"/>
      <c r="C47" s="496" t="s">
        <v>2664</v>
      </c>
      <c r="D47" s="500"/>
      <c r="E47" s="498">
        <f>IF(E42&lt;G42,G42/E42-1,E42/G42-1)</f>
        <v>2.4449877750611915E-3</v>
      </c>
      <c r="F47" s="499" t="str">
        <f>IF(OR(E47&gt;=0.2,E47&lt;=-0.2),"超过20%","")</f>
        <v/>
      </c>
      <c r="G47" s="498">
        <f>IF(G42&lt;I42,I42/G42-1,G42/I42-1)</f>
        <v>4.3256997455470847E-2</v>
      </c>
      <c r="H47" s="499" t="str">
        <f>IF(OR(G47&gt;=0.2,G47&lt;=-0.2),"超过20%","")</f>
        <v/>
      </c>
      <c r="I47" s="498">
        <f>IF(I42&lt;E42,E42/I42-1,I42/E42-1)</f>
        <v>4.0712468193384144E-2</v>
      </c>
      <c r="J47" s="499" t="str">
        <f>IF(OR(I47&gt;=0.2,I47&lt;=-0.2),"超过20%","")</f>
        <v/>
      </c>
      <c r="K47" s="1107"/>
      <c r="L47" s="1108"/>
      <c r="M47" s="1146"/>
      <c r="N47" s="1146"/>
      <c r="O47" s="1146"/>
    </row>
    <row r="48" spans="1:29" s="501" customFormat="1" ht="13.5" customHeight="1">
      <c r="A48" s="1147"/>
      <c r="B48" s="1147"/>
      <c r="C48" s="496" t="s">
        <v>2665</v>
      </c>
      <c r="D48" s="500"/>
      <c r="E48" s="498">
        <f>IF(E41&lt;G41,G41/E41-1,E41/G41-1)</f>
        <v>2.2026431718060735E-3</v>
      </c>
      <c r="F48" s="499" t="str">
        <f>IF(OR(E48&gt;=0.3,E48&lt;=-0.3),"超过30%","")</f>
        <v/>
      </c>
      <c r="G48" s="498">
        <f>IF(G41&lt;I41,I41/G41-1,G41/I41-1)</f>
        <v>2.2026431718060735E-3</v>
      </c>
      <c r="H48" s="499" t="str">
        <f>IF(OR(G48&gt;=0.3,G48&lt;=-0.3),"超过30%","")</f>
        <v/>
      </c>
      <c r="I48" s="498">
        <f>IF(I41&lt;E41,E41/I41-1,I41/E41-1)</f>
        <v>0</v>
      </c>
      <c r="J48" s="499" t="str">
        <f>IF(OR(I48&gt;=0.3,I48&lt;=-0.3),"超过30%","")</f>
        <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2750</v>
      </c>
      <c r="B50" s="684" t="s">
        <v>2751</v>
      </c>
      <c r="C50" s="2706" t="s">
        <v>2752</v>
      </c>
      <c r="D50" s="2707" t="s">
        <v>2753</v>
      </c>
      <c r="E50" s="685" t="s">
        <v>2754</v>
      </c>
      <c r="F50" s="686" t="s">
        <v>2755</v>
      </c>
      <c r="G50" s="3157" t="s">
        <v>2756</v>
      </c>
      <c r="H50" s="3158"/>
      <c r="I50" s="1816" t="s">
        <v>2792</v>
      </c>
      <c r="J50" s="1816" t="str">
        <f>项目基本情况!F35</f>
        <v>河北省保定市</v>
      </c>
      <c r="K50" s="2709" t="s">
        <v>2758</v>
      </c>
      <c r="L50" s="1108"/>
      <c r="M50" s="1146"/>
      <c r="N50" s="1146"/>
      <c r="O50" s="1146"/>
    </row>
    <row r="51" spans="1:17" s="691" customFormat="1">
      <c r="A51" s="687" t="s">
        <v>2759</v>
      </c>
      <c r="B51" s="688">
        <f>C43</f>
        <v>404</v>
      </c>
      <c r="C51" s="689">
        <v>1</v>
      </c>
      <c r="D51" s="1165">
        <v>1</v>
      </c>
      <c r="E51" s="689">
        <f>'数据-汇总表'!E8+'数据-汇总表'!E9</f>
        <v>17987.810000000001</v>
      </c>
      <c r="F51" s="690">
        <f t="shared" ref="F51:F60" si="15">ROUND(B51*E51/10000,0)</f>
        <v>727</v>
      </c>
      <c r="G51" s="3159"/>
      <c r="H51" s="3160"/>
      <c r="I51" s="944">
        <v>1</v>
      </c>
      <c r="J51" s="944">
        <v>1</v>
      </c>
      <c r="K51" s="1147"/>
      <c r="L51" s="943"/>
      <c r="M51" s="943"/>
      <c r="N51" s="943"/>
      <c r="O51" s="943"/>
    </row>
    <row r="52" spans="1:17" s="691" customFormat="1">
      <c r="A52" s="692" t="s">
        <v>2760</v>
      </c>
      <c r="B52" s="261">
        <f>ROUND($C$43*C52*D52,0)</f>
        <v>0</v>
      </c>
      <c r="C52" s="199">
        <f t="shared" ref="C52:C60" si="16">IF($C$50="北京市系数",I52,J52)</f>
        <v>0</v>
      </c>
      <c r="D52" s="1166">
        <v>0.25</v>
      </c>
      <c r="E52" s="693"/>
      <c r="F52" s="690">
        <f t="shared" si="15"/>
        <v>0</v>
      </c>
      <c r="G52" s="3161" t="s">
        <v>2761</v>
      </c>
      <c r="H52" s="1106">
        <f>项目基本情况!B37</f>
        <v>0</v>
      </c>
      <c r="I52" s="944">
        <f>SUMIF(修正!A45:A56,H52,修正!B45:B56)</f>
        <v>0</v>
      </c>
      <c r="J52" s="945"/>
      <c r="K52" s="1146"/>
      <c r="L52" s="943"/>
      <c r="M52" s="943"/>
      <c r="N52" s="943"/>
      <c r="O52" s="943"/>
    </row>
    <row r="53" spans="1:17" s="691" customFormat="1">
      <c r="A53" s="692" t="s">
        <v>2762</v>
      </c>
      <c r="B53" s="261">
        <f t="shared" ref="B53:B60" si="17">ROUND($C$43*C53*D53,0)</f>
        <v>0</v>
      </c>
      <c r="C53" s="199">
        <f t="shared" si="16"/>
        <v>0</v>
      </c>
      <c r="D53" s="1166">
        <v>0.25</v>
      </c>
      <c r="E53" s="693"/>
      <c r="F53" s="690">
        <f t="shared" si="15"/>
        <v>0</v>
      </c>
      <c r="G53" s="3161"/>
      <c r="H53" s="1106">
        <f>项目基本情况!B37</f>
        <v>0</v>
      </c>
      <c r="I53" s="944">
        <f>SUMIF(修正!A45:A56,H53,修正!C45:C56)</f>
        <v>0</v>
      </c>
      <c r="J53" s="945"/>
      <c r="K53" s="1147"/>
      <c r="L53" s="943"/>
      <c r="M53" s="943"/>
      <c r="N53" s="943"/>
      <c r="O53" s="943"/>
    </row>
    <row r="54" spans="1:17" s="691" customFormat="1">
      <c r="A54" s="692" t="s">
        <v>2763</v>
      </c>
      <c r="B54" s="261">
        <f t="shared" si="17"/>
        <v>0</v>
      </c>
      <c r="C54" s="199">
        <f t="shared" si="16"/>
        <v>0</v>
      </c>
      <c r="D54" s="1166">
        <v>0.25</v>
      </c>
      <c r="E54" s="693"/>
      <c r="F54" s="690">
        <f t="shared" si="15"/>
        <v>0</v>
      </c>
      <c r="G54" s="3161"/>
      <c r="H54" s="1106">
        <f>项目基本情况!B37</f>
        <v>0</v>
      </c>
      <c r="I54" s="944">
        <f>SUMIF(修正!A45:A56,H54,修正!D45:D56)</f>
        <v>0</v>
      </c>
      <c r="J54" s="945"/>
      <c r="K54" s="1146"/>
      <c r="L54" s="943"/>
      <c r="M54" s="943"/>
      <c r="N54" s="943"/>
      <c r="O54" s="943"/>
    </row>
    <row r="55" spans="1:17" s="691" customFormat="1">
      <c r="A55" s="692" t="s">
        <v>2764</v>
      </c>
      <c r="B55" s="261">
        <f t="shared" si="17"/>
        <v>0</v>
      </c>
      <c r="C55" s="199">
        <f t="shared" si="16"/>
        <v>0</v>
      </c>
      <c r="D55" s="1166">
        <v>0.25</v>
      </c>
      <c r="E55" s="693"/>
      <c r="F55" s="690">
        <f t="shared" si="15"/>
        <v>0</v>
      </c>
      <c r="G55" s="3161"/>
      <c r="H55" s="1106">
        <f>项目基本情况!B37</f>
        <v>0</v>
      </c>
      <c r="I55" s="944">
        <f>SUMIF(修正!A45:A56,H55,修正!E45:E56)</f>
        <v>0</v>
      </c>
      <c r="J55" s="945"/>
      <c r="K55" s="1147"/>
      <c r="L55" s="943"/>
      <c r="M55" s="943"/>
      <c r="N55" s="943"/>
      <c r="O55" s="943"/>
    </row>
    <row r="56" spans="1:17" s="691" customFormat="1">
      <c r="A56" s="692" t="s">
        <v>2765</v>
      </c>
      <c r="B56" s="261">
        <f t="shared" si="17"/>
        <v>0</v>
      </c>
      <c r="C56" s="199">
        <f t="shared" si="16"/>
        <v>0</v>
      </c>
      <c r="D56" s="1166">
        <v>0.25</v>
      </c>
      <c r="E56" s="260">
        <f>'数据-汇总表'!E11</f>
        <v>0</v>
      </c>
      <c r="F56" s="690">
        <f t="shared" si="15"/>
        <v>0</v>
      </c>
      <c r="G56" s="2710" t="s">
        <v>2766</v>
      </c>
      <c r="H56" s="1106">
        <f>项目基本情况!C37</f>
        <v>0</v>
      </c>
      <c r="I56" s="944">
        <f>SUMIF(修正!A45:A56,H56,修正!F45:F56)</f>
        <v>0</v>
      </c>
      <c r="J56" s="945"/>
      <c r="K56" s="1146"/>
      <c r="L56" s="943"/>
      <c r="M56" s="943"/>
      <c r="N56" s="943"/>
      <c r="O56" s="943"/>
    </row>
    <row r="57" spans="1:17" s="691" customFormat="1">
      <c r="A57" s="692" t="s">
        <v>2767</v>
      </c>
      <c r="B57" s="261">
        <f t="shared" si="17"/>
        <v>0</v>
      </c>
      <c r="C57" s="199">
        <f t="shared" si="16"/>
        <v>0</v>
      </c>
      <c r="D57" s="1166">
        <v>0.25</v>
      </c>
      <c r="E57" s="260">
        <f>'数据-汇总表'!E12</f>
        <v>0</v>
      </c>
      <c r="F57" s="690">
        <f t="shared" si="15"/>
        <v>0</v>
      </c>
      <c r="G57" s="1111" t="s">
        <v>2768</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2769</v>
      </c>
      <c r="B58" s="261">
        <f t="shared" si="17"/>
        <v>0</v>
      </c>
      <c r="C58" s="199">
        <f t="shared" si="16"/>
        <v>0</v>
      </c>
      <c r="D58" s="1166">
        <v>0.25</v>
      </c>
      <c r="E58" s="260">
        <f>'数据-汇总表'!E13</f>
        <v>0</v>
      </c>
      <c r="F58" s="690">
        <f t="shared" si="15"/>
        <v>0</v>
      </c>
      <c r="G58" s="1111" t="s">
        <v>2770</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2771</v>
      </c>
      <c r="B59" s="261">
        <f t="shared" si="17"/>
        <v>0</v>
      </c>
      <c r="C59" s="199">
        <f t="shared" si="16"/>
        <v>0</v>
      </c>
      <c r="D59" s="1166">
        <v>0.25</v>
      </c>
      <c r="E59" s="260">
        <f>'数据-汇总表'!E14</f>
        <v>0</v>
      </c>
      <c r="F59" s="690">
        <f t="shared" si="15"/>
        <v>0</v>
      </c>
      <c r="G59" s="2710" t="s">
        <v>2761</v>
      </c>
      <c r="H59" s="1106">
        <f>项目基本情况!B37</f>
        <v>0</v>
      </c>
      <c r="I59" s="944">
        <f>SUMIF(修正!A45:A56,H59,修正!H45:H56)</f>
        <v>0</v>
      </c>
      <c r="J59" s="945"/>
      <c r="K59" s="1147"/>
      <c r="L59" s="943"/>
      <c r="M59" s="943"/>
      <c r="N59" s="943"/>
      <c r="O59" s="943"/>
    </row>
    <row r="60" spans="1:17" s="691" customFormat="1" ht="15" thickBot="1">
      <c r="A60" s="692" t="s">
        <v>2772</v>
      </c>
      <c r="B60" s="261">
        <f t="shared" si="17"/>
        <v>0</v>
      </c>
      <c r="C60" s="199">
        <f t="shared" si="16"/>
        <v>0</v>
      </c>
      <c r="D60" s="1166">
        <v>0.25</v>
      </c>
      <c r="E60" s="260">
        <f>'数据-汇总表'!E15</f>
        <v>0</v>
      </c>
      <c r="F60" s="690">
        <f t="shared" si="15"/>
        <v>0</v>
      </c>
      <c r="G60" s="2711" t="s">
        <v>2766</v>
      </c>
      <c r="H60" s="1116">
        <f>项目基本情况!C37</f>
        <v>0</v>
      </c>
      <c r="I60" s="944">
        <f>SUMIF(修正!A45:A56,H60,修正!H45:H56)</f>
        <v>0</v>
      </c>
      <c r="J60" s="945"/>
      <c r="K60" s="1146"/>
      <c r="L60" s="943"/>
      <c r="M60" s="943"/>
      <c r="N60" s="943"/>
      <c r="O60" s="943"/>
    </row>
    <row r="61" spans="1:17" s="691" customFormat="1" ht="15" thickBot="1">
      <c r="A61" s="694" t="s">
        <v>2773</v>
      </c>
      <c r="B61" s="695" t="s">
        <v>28</v>
      </c>
      <c r="C61" s="695" t="s">
        <v>29</v>
      </c>
      <c r="D61" s="695" t="s">
        <v>1026</v>
      </c>
      <c r="E61" s="695">
        <f>IF(B41="楼面地价",SUM(E51:E60),'数据-汇总表'!D3)</f>
        <v>25697.15</v>
      </c>
      <c r="F61" s="696">
        <f>IF(B41="楼面地价",SUM(F51:F60),ROUND(C43*E61/10000,0))</f>
        <v>1038</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1.75" thickBot="1">
      <c r="A64" s="762" t="s">
        <v>2666</v>
      </c>
      <c r="B64" s="758"/>
      <c r="C64" s="763"/>
      <c r="D64" s="763"/>
      <c r="E64" s="763"/>
      <c r="F64" s="764"/>
      <c r="G64" s="764"/>
      <c r="H64" s="763"/>
      <c r="I64" s="763"/>
      <c r="J64" s="763"/>
      <c r="K64" s="765"/>
      <c r="L64" s="766"/>
      <c r="M64" s="763"/>
      <c r="N64" s="763"/>
      <c r="O64" s="1161"/>
      <c r="P64" s="502"/>
      <c r="Q64" s="503"/>
    </row>
    <row r="65" spans="1:17" s="507" customFormat="1" ht="15">
      <c r="A65" s="2712" t="s">
        <v>2774</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6"/>
    </row>
    <row r="66" spans="1:17" s="116" customFormat="1" ht="30.75" customHeight="1">
      <c r="A66" s="2717" t="s">
        <v>2793</v>
      </c>
      <c r="B66" s="331" t="str">
        <f>"北京市平均增长率"&amp;TEXT(基准地价修正!P24,"0.00%")</f>
        <v>北京市平均增长率0.00%</v>
      </c>
      <c r="C66" s="602">
        <v>100</v>
      </c>
      <c r="D66" s="594">
        <v>100</v>
      </c>
      <c r="E66" s="594">
        <v>100</v>
      </c>
      <c r="F66" s="594">
        <v>100</v>
      </c>
      <c r="G66" s="594">
        <v>100</v>
      </c>
      <c r="H66" s="594"/>
      <c r="I66" s="594"/>
      <c r="J66" s="594"/>
      <c r="K66" s="594"/>
      <c r="L66" s="594"/>
      <c r="M66" s="1569"/>
      <c r="N66" s="1569"/>
      <c r="O66" s="1571"/>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2580</v>
      </c>
      <c r="B70" s="527" t="s">
        <v>2546</v>
      </c>
      <c r="C70" s="2965" t="s">
        <v>3303</v>
      </c>
      <c r="D70" s="529"/>
      <c r="E70" s="529"/>
      <c r="F70" s="529"/>
      <c r="G70" s="529"/>
      <c r="H70" s="529"/>
      <c r="I70" s="529"/>
      <c r="J70" s="529"/>
      <c r="K70" s="530"/>
      <c r="L70" s="531"/>
      <c r="M70" s="532"/>
      <c r="N70" s="1154"/>
      <c r="O70" s="1154"/>
      <c r="P70" s="45"/>
      <c r="Q70" s="503"/>
    </row>
    <row r="71" spans="1:17" ht="15.75" thickBot="1">
      <c r="A71" s="533"/>
      <c r="B71" s="534"/>
      <c r="C71" s="535">
        <v>100</v>
      </c>
      <c r="D71" s="535"/>
      <c r="E71" s="535"/>
      <c r="F71" s="535"/>
      <c r="G71" s="535"/>
      <c r="H71" s="535"/>
      <c r="I71" s="535"/>
      <c r="J71" s="535"/>
      <c r="K71" s="535"/>
      <c r="L71" s="535"/>
      <c r="M71" s="536"/>
      <c r="N71" s="1155"/>
      <c r="O71" s="1155"/>
      <c r="P71" s="45"/>
      <c r="Q71" s="503"/>
    </row>
    <row r="72" spans="1:17" ht="27.75" thickTop="1">
      <c r="A72" s="533"/>
      <c r="B72" s="537" t="s">
        <v>2549</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2550</v>
      </c>
      <c r="C74" s="546" t="str">
        <f>C75&amp;"（含）"&amp;"-"&amp;D75</f>
        <v>0（含）-0.5</v>
      </c>
      <c r="D74" s="546" t="str">
        <f t="shared" ref="D74:L74" si="20">D75&amp;"（含）"&amp;"-"&amp;E75</f>
        <v>0.5（含）-1</v>
      </c>
      <c r="E74" s="546" t="str">
        <f t="shared" si="20"/>
        <v>1（含）-1.5</v>
      </c>
      <c r="F74" s="546" t="str">
        <f t="shared" si="20"/>
        <v>1.5（含）-2</v>
      </c>
      <c r="G74" s="546" t="str">
        <f t="shared" si="20"/>
        <v>2（含）-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v>0</v>
      </c>
      <c r="D75" s="548">
        <v>0.5</v>
      </c>
      <c r="E75" s="548">
        <v>1</v>
      </c>
      <c r="F75" s="548">
        <v>1.5</v>
      </c>
      <c r="G75" s="548">
        <v>2</v>
      </c>
      <c r="H75" s="548"/>
      <c r="I75" s="548"/>
      <c r="J75" s="548"/>
      <c r="K75" s="549"/>
      <c r="L75" s="550"/>
      <c r="M75" s="551"/>
      <c r="N75" s="1154"/>
      <c r="O75" s="1154"/>
      <c r="P75" s="45"/>
      <c r="Q75" s="503"/>
    </row>
    <row r="76" spans="1:17" ht="15.75" thickBot="1">
      <c r="A76" s="533"/>
      <c r="B76" s="534"/>
      <c r="C76" s="543">
        <v>100</v>
      </c>
      <c r="D76" s="543">
        <f>IF($B$41="单位面积地价",C76+$K11,C76-$K11)</f>
        <v>110</v>
      </c>
      <c r="E76" s="543">
        <f t="shared" ref="E76:M76" si="21">IF($B$41="单位面积地价",D76+$K11,D76-$K11)</f>
        <v>120</v>
      </c>
      <c r="F76" s="543">
        <f t="shared" si="21"/>
        <v>130</v>
      </c>
      <c r="G76" s="543">
        <f t="shared" si="21"/>
        <v>140</v>
      </c>
      <c r="H76" s="543">
        <f t="shared" si="21"/>
        <v>150</v>
      </c>
      <c r="I76" s="543">
        <f t="shared" si="21"/>
        <v>160</v>
      </c>
      <c r="J76" s="543">
        <f t="shared" si="21"/>
        <v>170</v>
      </c>
      <c r="K76" s="543">
        <f t="shared" si="21"/>
        <v>180</v>
      </c>
      <c r="L76" s="543">
        <f t="shared" si="21"/>
        <v>190</v>
      </c>
      <c r="M76" s="543">
        <f t="shared" si="21"/>
        <v>200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4"/>
      <c r="O83" s="1154"/>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5"/>
      <c r="O84" s="1155"/>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4"/>
      <c r="O85" s="1154"/>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5"/>
      <c r="O86" s="1155"/>
      <c r="P86" s="45"/>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7"/>
      <c r="M87" s="621"/>
      <c r="N87" s="1153"/>
      <c r="O87" s="1153"/>
      <c r="P87" s="45"/>
      <c r="Q87" s="503"/>
    </row>
    <row r="88" spans="1:17" s="116" customFormat="1" ht="15.75" thickBot="1">
      <c r="A88" s="578"/>
      <c r="B88" s="542"/>
      <c r="C88" s="581">
        <v>100</v>
      </c>
      <c r="D88" s="543">
        <f>C88-$K19</f>
        <v>98</v>
      </c>
      <c r="E88" s="543">
        <f>D88-$K19</f>
        <v>96</v>
      </c>
      <c r="F88" s="543">
        <f>E88-$K19</f>
        <v>94</v>
      </c>
      <c r="G88" s="543">
        <f>F88-$K19</f>
        <v>92</v>
      </c>
      <c r="H88" s="543"/>
      <c r="I88" s="543"/>
      <c r="J88" s="543"/>
      <c r="K88" s="543"/>
      <c r="L88" s="543"/>
      <c r="M88" s="544"/>
      <c r="N88" s="1155"/>
      <c r="O88" s="1155"/>
      <c r="P88" s="45"/>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1"/>
      <c r="N89" s="1153"/>
      <c r="O89" s="1153"/>
      <c r="P89" s="45"/>
      <c r="Q89" s="503"/>
    </row>
    <row r="90" spans="1:17" s="116" customFormat="1" ht="15.75" thickBot="1">
      <c r="A90" s="578"/>
      <c r="B90" s="542"/>
      <c r="C90" s="543">
        <v>100</v>
      </c>
      <c r="D90" s="543">
        <f>C90-$K21</f>
        <v>98</v>
      </c>
      <c r="E90" s="543">
        <f>D90-$K21</f>
        <v>96</v>
      </c>
      <c r="F90" s="543">
        <f>E90-$K21</f>
        <v>94</v>
      </c>
      <c r="G90" s="543">
        <f>F90-$K21</f>
        <v>92</v>
      </c>
      <c r="H90" s="543"/>
      <c r="I90" s="543"/>
      <c r="J90" s="543"/>
      <c r="K90" s="543"/>
      <c r="L90" s="543"/>
      <c r="M90" s="544"/>
      <c r="N90" s="1155"/>
      <c r="O90" s="1155"/>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6"/>
      <c r="O91" s="1156"/>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6"/>
      <c r="O92" s="1156"/>
      <c r="P92" s="557"/>
      <c r="Q92" s="558"/>
    </row>
    <row r="93" spans="1:17" s="470" customFormat="1" ht="15.75" thickTop="1">
      <c r="A93" s="552"/>
      <c r="B93" s="545" t="s">
        <v>2794</v>
      </c>
      <c r="C93" s="659" t="s">
        <v>2667</v>
      </c>
      <c r="D93" s="659" t="s">
        <v>2668</v>
      </c>
      <c r="E93" s="659" t="s">
        <v>2669</v>
      </c>
      <c r="F93" s="659" t="s">
        <v>2670</v>
      </c>
      <c r="G93" s="659" t="s">
        <v>2671</v>
      </c>
      <c r="H93" s="599"/>
      <c r="I93" s="599"/>
      <c r="J93" s="599"/>
      <c r="K93" s="599"/>
      <c r="L93" s="599"/>
      <c r="M93" s="601"/>
      <c r="N93" s="1156"/>
      <c r="O93" s="1156"/>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7"/>
      <c r="N94" s="1156"/>
      <c r="O94" s="1156"/>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2683</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2742</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ht="28.5">
      <c r="A107" s="526" t="s">
        <v>2555</v>
      </c>
      <c r="B107" s="527" t="s">
        <v>2783</v>
      </c>
      <c r="C107" s="528" t="str">
        <f t="shared" ref="C107:L107" si="25">C108&amp;"(含)"&amp;"-"&amp;D108</f>
        <v>0(含)-10000</v>
      </c>
      <c r="D107" s="528" t="str">
        <f t="shared" si="25"/>
        <v>10000(含)-20000</v>
      </c>
      <c r="E107" s="528" t="str">
        <f t="shared" si="25"/>
        <v>20000(含)-30000</v>
      </c>
      <c r="F107" s="528" t="str">
        <f t="shared" si="25"/>
        <v>30000(含)-400000</v>
      </c>
      <c r="G107" s="528" t="str">
        <f t="shared" si="25"/>
        <v>400000(含)-50000</v>
      </c>
      <c r="H107" s="528" t="str">
        <f t="shared" si="25"/>
        <v>50000(含)-100000</v>
      </c>
      <c r="I107" s="528" t="str">
        <f t="shared" si="25"/>
        <v>100000(含)-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v>0</v>
      </c>
      <c r="D108" s="594">
        <v>10000</v>
      </c>
      <c r="E108" s="594">
        <v>20000</v>
      </c>
      <c r="F108" s="594">
        <v>30000</v>
      </c>
      <c r="G108" s="594">
        <v>400000</v>
      </c>
      <c r="H108" s="594">
        <v>50000</v>
      </c>
      <c r="I108" s="594">
        <v>100000</v>
      </c>
      <c r="J108" s="595"/>
      <c r="K108" s="595"/>
      <c r="L108" s="596"/>
      <c r="M108" s="597"/>
      <c r="N108" s="1154"/>
      <c r="O108" s="1154"/>
      <c r="P108" s="45"/>
      <c r="Q108" s="503"/>
    </row>
    <row r="109" spans="1:17" ht="15.75" thickBot="1">
      <c r="A109" s="533"/>
      <c r="B109" s="542"/>
      <c r="C109" s="569">
        <v>100</v>
      </c>
      <c r="D109" s="590">
        <f>C109+1</f>
        <v>101</v>
      </c>
      <c r="E109" s="590">
        <f t="shared" ref="E109:H109" si="26">D109+1</f>
        <v>102</v>
      </c>
      <c r="F109" s="590">
        <f t="shared" si="26"/>
        <v>103</v>
      </c>
      <c r="G109" s="590">
        <f t="shared" si="26"/>
        <v>104</v>
      </c>
      <c r="H109" s="590">
        <f t="shared" si="26"/>
        <v>105</v>
      </c>
      <c r="I109" s="590"/>
      <c r="J109" s="590"/>
      <c r="K109" s="590"/>
      <c r="L109" s="590"/>
      <c r="M109" s="591"/>
      <c r="N109" s="1155"/>
      <c r="O109" s="1155"/>
      <c r="P109" s="45"/>
      <c r="Q109" s="503"/>
    </row>
    <row r="110" spans="1:17" ht="15" thickTop="1">
      <c r="A110" s="598"/>
      <c r="B110" s="537" t="s">
        <v>2784</v>
      </c>
      <c r="C110" s="2966" t="s">
        <v>3304</v>
      </c>
      <c r="D110" s="2966" t="s">
        <v>3306</v>
      </c>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7">C111-$K35</f>
        <v>98</v>
      </c>
      <c r="E111" s="543">
        <f t="shared" si="27"/>
        <v>96</v>
      </c>
      <c r="F111" s="543">
        <f t="shared" si="27"/>
        <v>94</v>
      </c>
      <c r="G111" s="543">
        <f t="shared" si="27"/>
        <v>92</v>
      </c>
      <c r="H111" s="543">
        <f t="shared" si="27"/>
        <v>90</v>
      </c>
      <c r="I111" s="543">
        <f t="shared" si="27"/>
        <v>88</v>
      </c>
      <c r="J111" s="543">
        <f t="shared" si="27"/>
        <v>86</v>
      </c>
      <c r="K111" s="543">
        <f t="shared" si="27"/>
        <v>84</v>
      </c>
      <c r="L111" s="543">
        <f t="shared" si="27"/>
        <v>82</v>
      </c>
      <c r="M111" s="544">
        <f t="shared" si="27"/>
        <v>80</v>
      </c>
      <c r="N111" s="1155"/>
      <c r="O111" s="1155"/>
      <c r="P111" s="45"/>
      <c r="Q111" s="503"/>
    </row>
    <row r="112" spans="1:17" s="470" customFormat="1" ht="15" thickTop="1">
      <c r="A112" s="592"/>
      <c r="B112" s="537" t="s">
        <v>2786</v>
      </c>
      <c r="C112" s="2967" t="s">
        <v>3307</v>
      </c>
      <c r="D112" s="2967" t="s">
        <v>3308</v>
      </c>
      <c r="E112" s="2967" t="s">
        <v>3310</v>
      </c>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8">C113-$K36</f>
        <v>99</v>
      </c>
      <c r="E113" s="543">
        <f t="shared" si="28"/>
        <v>98</v>
      </c>
      <c r="F113" s="543">
        <f t="shared" si="28"/>
        <v>97</v>
      </c>
      <c r="G113" s="543">
        <f t="shared" si="28"/>
        <v>96</v>
      </c>
      <c r="H113" s="543">
        <f t="shared" si="28"/>
        <v>95</v>
      </c>
      <c r="I113" s="543">
        <f t="shared" si="28"/>
        <v>94</v>
      </c>
      <c r="J113" s="543">
        <f t="shared" si="28"/>
        <v>93</v>
      </c>
      <c r="K113" s="543">
        <f t="shared" si="28"/>
        <v>92</v>
      </c>
      <c r="L113" s="543">
        <f t="shared" si="28"/>
        <v>91</v>
      </c>
      <c r="M113" s="544">
        <f t="shared" si="28"/>
        <v>90</v>
      </c>
      <c r="N113" s="1156"/>
      <c r="O113" s="1156"/>
      <c r="P113" s="557"/>
      <c r="Q113" s="558"/>
    </row>
    <row r="114" spans="1:17" ht="15" thickTop="1">
      <c r="A114" s="598"/>
      <c r="B114" s="537" t="s">
        <v>2787</v>
      </c>
      <c r="C114" s="2967" t="s">
        <v>3311</v>
      </c>
      <c r="D114" s="2967" t="s">
        <v>3312</v>
      </c>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9">C115-$K37</f>
        <v>98</v>
      </c>
      <c r="E115" s="543">
        <f t="shared" si="29"/>
        <v>96</v>
      </c>
      <c r="F115" s="543">
        <f t="shared" si="29"/>
        <v>94</v>
      </c>
      <c r="G115" s="543">
        <f t="shared" si="29"/>
        <v>92</v>
      </c>
      <c r="H115" s="543">
        <f t="shared" si="29"/>
        <v>90</v>
      </c>
      <c r="I115" s="543">
        <f t="shared" si="29"/>
        <v>88</v>
      </c>
      <c r="J115" s="543">
        <f t="shared" si="29"/>
        <v>86</v>
      </c>
      <c r="K115" s="543">
        <f t="shared" si="29"/>
        <v>84</v>
      </c>
      <c r="L115" s="543">
        <f t="shared" si="29"/>
        <v>82</v>
      </c>
      <c r="M115" s="544">
        <f t="shared" si="29"/>
        <v>80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1" t="str">
        <f>项目基本情况!B1</f>
        <v>河北省保定市定兴县新107国道东侧房地产抵押价值预评估</v>
      </c>
      <c r="C37" s="2971"/>
      <c r="D37" s="2971"/>
      <c r="E37" s="2971"/>
      <c r="F37" s="2971"/>
      <c r="G37" s="2971"/>
      <c r="H37" s="2971"/>
      <c r="I37" s="2971"/>
    </row>
    <row r="38" spans="1:9">
      <c r="A38" s="1018"/>
      <c r="B38" s="1018"/>
    </row>
    <row r="39" spans="1:9">
      <c r="A39" s="1016" t="s">
        <v>818</v>
      </c>
      <c r="B39" s="1016" t="s">
        <v>820</v>
      </c>
    </row>
    <row r="40" spans="1:9">
      <c r="A40" s="1016"/>
      <c r="B40" s="1944" t="str">
        <f>项目基本情况!B5</f>
        <v>保定通美晶体制造有限责任公司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郑燚（注册号：1120070131)、崔锴（注册号：1120100036)</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9"/>
      <c r="C1" s="241"/>
      <c r="D1" s="241"/>
      <c r="E1" s="241"/>
      <c r="F1" s="241"/>
      <c r="G1" s="1381">
        <f>MATCH(B1,'数据-取费表'!A6:A16,0)+5</f>
        <v>7</v>
      </c>
    </row>
    <row r="2" spans="1:9" s="243" customFormat="1" ht="18" customHeight="1">
      <c r="A2" s="244" t="s">
        <v>2319</v>
      </c>
      <c r="B2" s="245">
        <f ca="1">IF(D2="——",C52,C52-E2)</f>
        <v>5240</v>
      </c>
      <c r="C2" s="242" t="s">
        <v>2320</v>
      </c>
      <c r="D2" s="2548" t="s">
        <v>70</v>
      </c>
      <c r="E2" s="1442" t="e">
        <f ca="1">SUMIF(INDIRECT("'"&amp;G2&amp;"'"&amp;"!A:A"),"承租人权益价值",INDIRECT("'"&amp;G2&amp;"'"&amp;"!c:c"))</f>
        <v>#REF!</v>
      </c>
      <c r="F2" s="2549" t="s">
        <v>2320</v>
      </c>
      <c r="G2" s="2550"/>
    </row>
    <row r="3" spans="1:9" s="243" customFormat="1" ht="18" customHeight="1" thickBot="1">
      <c r="A3" s="246" t="s">
        <v>2321</v>
      </c>
      <c r="B3" s="247">
        <f ca="1">ROUND(B2*10000/(IF(B1="",'数据-汇总表'!E3,INDIRECT("'数据-取费表'!k"&amp;$G$1))),0)</f>
        <v>2913</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C6+C7+C8</f>
        <v>1070</v>
      </c>
      <c r="D5" s="254" t="s">
        <v>2326</v>
      </c>
      <c r="E5" s="255" t="s">
        <v>2327</v>
      </c>
      <c r="F5" s="255" t="s">
        <v>2328</v>
      </c>
      <c r="G5" s="256"/>
    </row>
    <row r="6" spans="1:9" s="257" customFormat="1" ht="13.5" customHeight="1">
      <c r="A6" s="951" t="s">
        <v>2329</v>
      </c>
      <c r="B6" s="258" t="s">
        <v>2330</v>
      </c>
      <c r="C6" s="259">
        <f>'土地比较法-工业'!B2</f>
        <v>1038</v>
      </c>
      <c r="D6" s="260"/>
      <c r="E6" s="261"/>
      <c r="F6" s="261"/>
      <c r="G6" s="262"/>
    </row>
    <row r="7" spans="1:9" s="257" customFormat="1" ht="13.5" customHeight="1">
      <c r="A7" s="951" t="s">
        <v>2331</v>
      </c>
      <c r="B7" s="258" t="s">
        <v>2332</v>
      </c>
      <c r="C7" s="263">
        <f>ROUND(C6*F7,0)</f>
        <v>32</v>
      </c>
      <c r="D7" s="263"/>
      <c r="E7" s="261"/>
      <c r="F7" s="264">
        <f>'数据-取费表'!B48+'数据-取费表'!B49</f>
        <v>3.0499999999999999E-2</v>
      </c>
      <c r="G7" s="262"/>
    </row>
    <row r="8" spans="1:9" s="266" customFormat="1">
      <c r="A8" s="951" t="s">
        <v>2333</v>
      </c>
      <c r="B8" s="258" t="s">
        <v>2334</v>
      </c>
      <c r="C8" s="263" t="str">
        <f>IF(G8="已包含在土地购买价格中","0",IF(B1="",'数据-取费表'!B29,IF(G9="全部缴纳",C9+C10,H9)))</f>
        <v>0</v>
      </c>
      <c r="D8" s="265"/>
      <c r="E8" s="263"/>
      <c r="F8" s="264"/>
      <c r="G8" s="2551" t="s">
        <v>1145</v>
      </c>
    </row>
    <row r="9" spans="1:9" s="257" customFormat="1" ht="13.5" customHeight="1">
      <c r="A9" s="952" t="s">
        <v>800</v>
      </c>
      <c r="B9" s="267" t="s">
        <v>2335</v>
      </c>
      <c r="C9" s="268">
        <f ca="1">ROUND(D9*E9/10000,0)</f>
        <v>0</v>
      </c>
      <c r="D9" s="1034">
        <f ca="1">IF(B1="",'数据-汇总表'!E5,IF(INDIRECT("'数据-取费表'!c"&amp;$G$1)="住宅",INDIRECT("'数据-取费表'!k"&amp;$G$1),0))</f>
        <v>0</v>
      </c>
      <c r="E9" s="268">
        <f>'数据-取费表'!B27</f>
        <v>0</v>
      </c>
      <c r="F9" s="264"/>
      <c r="G9" s="2552" t="s">
        <v>3314</v>
      </c>
      <c r="H9" s="1392"/>
      <c r="I9" s="2553" t="s">
        <v>2336</v>
      </c>
    </row>
    <row r="10" spans="1:9" s="257" customFormat="1" ht="13.5" customHeight="1">
      <c r="A10" s="952" t="s">
        <v>801</v>
      </c>
      <c r="B10" s="267" t="s">
        <v>2337</v>
      </c>
      <c r="C10" s="268">
        <f ca="1">ROUND(D10*E10/10000,0)</f>
        <v>0</v>
      </c>
      <c r="D10" s="1034">
        <f ca="1">IF(B1="",'数据-汇总表'!E6,IF(INDIRECT("'数据-取费表'!c"&amp;$G$1)="住宅",INDIRECT("'数据-取费表'!s"&amp;$G$1),INDIRECT("'数据-取费表'!k"&amp;$G$1)+INDIRECT("'数据-取费表'!s"&amp;$G$1)))</f>
        <v>17987.810000000001</v>
      </c>
      <c r="E10" s="268">
        <f>'数据-取费表'!B28</f>
        <v>0</v>
      </c>
      <c r="F10" s="264"/>
      <c r="G10" s="269"/>
    </row>
    <row r="11" spans="1:9" s="257" customFormat="1" ht="13.5" hidden="1" customHeight="1">
      <c r="A11" s="270" t="s">
        <v>7</v>
      </c>
      <c r="B11" s="258" t="s">
        <v>2338</v>
      </c>
      <c r="C11" s="254"/>
      <c r="D11" s="1036"/>
      <c r="E11" s="261"/>
      <c r="F11" s="261"/>
      <c r="G11" s="262"/>
    </row>
    <row r="12" spans="1:9" s="257" customFormat="1" ht="13.5" hidden="1" customHeight="1">
      <c r="A12" s="270" t="s">
        <v>8</v>
      </c>
      <c r="B12" s="258" t="s">
        <v>2339</v>
      </c>
      <c r="C12" s="254">
        <v>0</v>
      </c>
      <c r="D12" s="1036"/>
      <c r="E12" s="271"/>
      <c r="F12" s="264">
        <v>3.0499999999999999E-2</v>
      </c>
      <c r="G12" s="262"/>
    </row>
    <row r="13" spans="1:9" s="257" customFormat="1" ht="13.5" hidden="1" customHeight="1">
      <c r="A13" s="270" t="s">
        <v>9</v>
      </c>
      <c r="B13" s="258" t="s">
        <v>2340</v>
      </c>
      <c r="C13" s="254"/>
      <c r="D13" s="1036"/>
      <c r="E13" s="261"/>
      <c r="F13" s="261"/>
      <c r="G13" s="262"/>
    </row>
    <row r="14" spans="1:9" s="257" customFormat="1" ht="13.5" hidden="1" customHeight="1">
      <c r="A14" s="270" t="s">
        <v>10</v>
      </c>
      <c r="B14" s="258" t="s">
        <v>2341</v>
      </c>
      <c r="C14" s="254"/>
      <c r="D14" s="1036"/>
      <c r="E14" s="261"/>
      <c r="F14" s="261"/>
      <c r="G14" s="262" t="s">
        <v>2342</v>
      </c>
    </row>
    <row r="15" spans="1:9" s="257" customFormat="1" ht="13.5" hidden="1" customHeight="1">
      <c r="A15" s="270" t="s">
        <v>11</v>
      </c>
      <c r="B15" s="258" t="s">
        <v>2343</v>
      </c>
      <c r="C15" s="263"/>
      <c r="D15" s="1036"/>
      <c r="E15" s="261"/>
      <c r="F15" s="261"/>
      <c r="G15" s="262" t="s">
        <v>2344</v>
      </c>
    </row>
    <row r="16" spans="1:9" s="257" customFormat="1" ht="13.5" hidden="1" customHeight="1">
      <c r="A16" s="270" t="s">
        <v>12</v>
      </c>
      <c r="B16" s="258" t="s">
        <v>2341</v>
      </c>
      <c r="C16" s="263"/>
      <c r="D16" s="1036"/>
      <c r="E16" s="261"/>
      <c r="F16" s="261"/>
      <c r="G16" s="262"/>
    </row>
    <row r="17" spans="1:7" s="257" customFormat="1" ht="13.5" hidden="1" customHeight="1">
      <c r="A17" s="270" t="s">
        <v>13</v>
      </c>
      <c r="B17" s="258" t="s">
        <v>2345</v>
      </c>
      <c r="C17" s="272"/>
      <c r="D17" s="1037"/>
      <c r="E17" s="272"/>
      <c r="F17" s="272"/>
      <c r="G17" s="262" t="s">
        <v>2344</v>
      </c>
    </row>
    <row r="18" spans="1:7" s="257" customFormat="1" ht="13.5" hidden="1" customHeight="1">
      <c r="A18" s="270" t="s">
        <v>14</v>
      </c>
      <c r="B18" s="258" t="s">
        <v>2346</v>
      </c>
      <c r="C18" s="263">
        <v>0</v>
      </c>
      <c r="D18" s="1036"/>
      <c r="E18" s="261"/>
      <c r="F18" s="264">
        <v>3.0499999999999999E-2</v>
      </c>
      <c r="G18" s="262" t="s">
        <v>2347</v>
      </c>
    </row>
    <row r="19" spans="1:7" s="266" customFormat="1" ht="13.5" customHeight="1">
      <c r="A19" s="298" t="s">
        <v>2348</v>
      </c>
      <c r="B19" s="253" t="s">
        <v>2349</v>
      </c>
      <c r="C19" s="254" t="str">
        <f>IF(G19="已包含在土地取得成本中","0",ROUND(D19*E19/10000,0))</f>
        <v>0</v>
      </c>
      <c r="D19" s="1038">
        <f ca="1">D9+D10</f>
        <v>17987.810000000001</v>
      </c>
      <c r="E19" s="254">
        <f>'数据-取费表'!B31</f>
        <v>180</v>
      </c>
      <c r="F19" s="274"/>
      <c r="G19" s="2551" t="s">
        <v>3315</v>
      </c>
    </row>
    <row r="20" spans="1:7" s="257" customFormat="1" ht="13.5" customHeight="1">
      <c r="A20" s="298" t="s">
        <v>2350</v>
      </c>
      <c r="B20" s="253" t="s">
        <v>2351</v>
      </c>
      <c r="C20" s="275">
        <f>ROUND((C5+C19)*F20,0)</f>
        <v>21</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56">
        <f ca="1">ROUND(SUM(C23:C25),0)</f>
        <v>47</v>
      </c>
      <c r="D22" s="278">
        <f ca="1">C26</f>
        <v>4.0000000000000002E-4</v>
      </c>
      <c r="E22" s="279" t="s">
        <v>2355</v>
      </c>
      <c r="F22" s="280">
        <f ca="1">'数据-取费表'!B40</f>
        <v>4.3499999999999997E-2</v>
      </c>
      <c r="G22" s="277" t="str">
        <f>IF('数据-取费表'!B22&lt;=1,"单利计息","复利计息")</f>
        <v>单利计息</v>
      </c>
    </row>
    <row r="23" spans="1:7" s="257" customFormat="1" ht="13.5" customHeight="1">
      <c r="A23" s="953" t="s">
        <v>2359</v>
      </c>
      <c r="B23" s="258" t="s">
        <v>2360</v>
      </c>
      <c r="C23" s="1357">
        <f ca="1">ROUND(IF('数据-取费表'!B22&lt;=1,C5*F22*'数据-取费表'!B23,C5*(POWER((1+F22),'数据-取费表'!B23)-1)),0)</f>
        <v>47</v>
      </c>
      <c r="D23" s="281"/>
      <c r="E23" s="281"/>
      <c r="F23" s="282"/>
      <c r="G23" s="283" t="s">
        <v>2361</v>
      </c>
    </row>
    <row r="24" spans="1:7" s="257" customFormat="1" ht="13.5" customHeight="1">
      <c r="A24" s="953" t="s">
        <v>2362</v>
      </c>
      <c r="B24" s="258" t="s">
        <v>2363</v>
      </c>
      <c r="C24" s="1357">
        <f ca="1">ROUND(IF('数据-取费表'!B22&lt;=1,C19*F22*('数据-取费表'!B19/2+'数据-取费表'!B21),C19*(POWER((1+F22),('数据-取费表'!B19/2+'数据-取费表'!B21))-1)),0)</f>
        <v>0</v>
      </c>
      <c r="D24" s="281"/>
      <c r="E24" s="281"/>
      <c r="F24" s="282"/>
      <c r="G24" s="283" t="s">
        <v>2364</v>
      </c>
    </row>
    <row r="25" spans="1:7" s="257" customFormat="1" ht="24">
      <c r="A25" s="953" t="s">
        <v>2365</v>
      </c>
      <c r="B25" s="258" t="s">
        <v>2366</v>
      </c>
      <c r="C25" s="1357">
        <f ca="1">ROUND(IF('数据-取费表'!B22&lt;=1,C20*F22*'数据-取费表'!B23/2,C20*(POWER((1+F22),'数据-取费表'!B23/2)-1)),0)</f>
        <v>0</v>
      </c>
      <c r="D25" s="281"/>
      <c r="E25" s="284"/>
      <c r="F25" s="282"/>
      <c r="G25" s="285" t="s">
        <v>2367</v>
      </c>
    </row>
    <row r="26" spans="1:7" s="257" customFormat="1">
      <c r="A26" s="953" t="s">
        <v>795</v>
      </c>
      <c r="B26" s="258" t="s">
        <v>2368</v>
      </c>
      <c r="C26" s="281">
        <f ca="1">ROUND(IF('数据-取费表'!B22&lt;=1,F21*F22*'数据-取费表'!B23/2,F21*(POWER((1+F22),'数据-取费表'!B23/2)-1)),4)</f>
        <v>4.0000000000000002E-4</v>
      </c>
      <c r="D26" s="281"/>
      <c r="E26" s="284"/>
      <c r="F26" s="282"/>
      <c r="G26" s="286"/>
    </row>
    <row r="27" spans="1:7" s="257" customFormat="1" ht="24.75">
      <c r="A27" s="298" t="s">
        <v>2369</v>
      </c>
      <c r="B27" s="287" t="s">
        <v>2370</v>
      </c>
      <c r="C27" s="288">
        <f ca="1">C28</f>
        <v>109</v>
      </c>
      <c r="D27" s="278">
        <f ca="1">C29</f>
        <v>2E-3</v>
      </c>
      <c r="E27" s="279" t="s">
        <v>2371</v>
      </c>
      <c r="F27" s="289">
        <f ca="1">IF(B1="",'数据-取费表'!Q16,INDIRECT("'数据-取费表'!q"&amp;$G$1))</f>
        <v>0.1</v>
      </c>
      <c r="G27" s="290" t="s">
        <v>2372</v>
      </c>
    </row>
    <row r="28" spans="1:7" s="257" customFormat="1" ht="13.5" customHeight="1">
      <c r="A28" s="953" t="s">
        <v>791</v>
      </c>
      <c r="B28" s="291" t="s">
        <v>2373</v>
      </c>
      <c r="C28" s="292">
        <f ca="1">ROUND((C5+C19+C20)*F27*'数据-取费表'!B21/'数据-取费表'!B20,0)</f>
        <v>109</v>
      </c>
      <c r="D28" s="278"/>
      <c r="E28" s="279"/>
      <c r="F28" s="289"/>
      <c r="G28" s="290"/>
    </row>
    <row r="29" spans="1:7" s="257" customFormat="1" ht="13.5" customHeight="1">
      <c r="A29" s="953" t="s">
        <v>792</v>
      </c>
      <c r="B29" s="291" t="s">
        <v>2374</v>
      </c>
      <c r="C29" s="281">
        <f ca="1">ROUND(C21*F27*'数据-取费表'!B21/'数据-取费表'!B20,4)</f>
        <v>2E-3</v>
      </c>
      <c r="D29" s="278"/>
      <c r="E29" s="279"/>
      <c r="F29" s="289"/>
      <c r="G29" s="290"/>
    </row>
    <row r="30" spans="1:7" s="257" customFormat="1" ht="13.5" customHeight="1">
      <c r="A30" s="298" t="s">
        <v>2375</v>
      </c>
      <c r="B30" s="253" t="s">
        <v>2376</v>
      </c>
      <c r="C30" s="278">
        <f>ROUND(F30/(1+'数据-取费表'!C42),4)</f>
        <v>5.2400000000000002E-2</v>
      </c>
      <c r="D30" s="279" t="s">
        <v>2371</v>
      </c>
      <c r="E30" s="284"/>
      <c r="F30" s="280">
        <f>'数据-取费表'!B41</f>
        <v>5.5000000000000007E-2</v>
      </c>
      <c r="G30" s="277" t="s">
        <v>2377</v>
      </c>
    </row>
    <row r="31" spans="1:7" ht="16.5" customHeight="1">
      <c r="A31" s="252">
        <v>1</v>
      </c>
      <c r="B31" s="253" t="s">
        <v>2378</v>
      </c>
      <c r="C31" s="254">
        <f ca="1">ROUND((C5+C19+C20+C22+C27)/(1-C21-D22-D27-C30),0)</f>
        <v>1348</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3179</v>
      </c>
      <c r="D33" s="275"/>
      <c r="E33" s="255"/>
      <c r="F33" s="284"/>
      <c r="G33" s="277"/>
    </row>
    <row r="34" spans="1:7" s="301" customFormat="1" ht="13.5" customHeight="1">
      <c r="A34" s="953" t="s">
        <v>791</v>
      </c>
      <c r="B34" s="258" t="s">
        <v>2382</v>
      </c>
      <c r="C34" s="263">
        <f ca="1">IF(B1="",IF(F34=100%,'数据-取费表'!M16,'数据-取费表'!O16),IF(F34=100%,INDIRECT("'数据-取费表'!m"&amp;$G$1)+INDIRECT("'数据-取费表'!t"&amp;$G$1),INDIRECT("'数据-取费表'!o"&amp;$G$1)+INDIRECT("'数据-取费表'!aq"&amp;$G$1)))</f>
        <v>2698</v>
      </c>
      <c r="D34" s="260"/>
      <c r="E34" s="263"/>
      <c r="F34" s="300">
        <f ca="1">IF('数据-取费表'!B24=0,1,IF(B1="",'数据-取费表'!N16,INDIRECT("'数据-取费表'!n"&amp;$G$1)))</f>
        <v>1</v>
      </c>
      <c r="G34" s="262" t="s">
        <v>2383</v>
      </c>
    </row>
    <row r="35" spans="1:7" ht="13.5" customHeight="1">
      <c r="A35" s="953" t="s">
        <v>796</v>
      </c>
      <c r="B35" s="258" t="s">
        <v>2384</v>
      </c>
      <c r="C35" s="263">
        <f ca="1">ROUND(C34*F35,0)</f>
        <v>81</v>
      </c>
      <c r="D35" s="263"/>
      <c r="E35" s="263"/>
      <c r="F35" s="302">
        <f>'数据-取费表'!B33</f>
        <v>0.03</v>
      </c>
      <c r="G35" s="262" t="s">
        <v>2385</v>
      </c>
    </row>
    <row r="36" spans="1:7" ht="24">
      <c r="A36" s="953" t="s">
        <v>797</v>
      </c>
      <c r="B36" s="258" t="s">
        <v>2386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0.02</v>
      </c>
      <c r="G36" s="303" t="s">
        <v>2387</v>
      </c>
    </row>
    <row r="37" spans="1:7" s="301" customFormat="1" ht="13.5" customHeight="1">
      <c r="A37" s="953" t="s">
        <v>798</v>
      </c>
      <c r="B37" s="258" t="s">
        <v>2388</v>
      </c>
      <c r="C37" s="292">
        <f ca="1">ROUND(E37*D37*F34/10000,0)</f>
        <v>360</v>
      </c>
      <c r="D37" s="260">
        <f ca="1">D19</f>
        <v>17987.810000000001</v>
      </c>
      <c r="E37" s="292">
        <f>'数据-取费表'!B35</f>
        <v>200</v>
      </c>
      <c r="F37" s="302"/>
      <c r="G37" s="304" t="s">
        <v>2389</v>
      </c>
    </row>
    <row r="38" spans="1:7" ht="13.5" customHeight="1">
      <c r="A38" s="953" t="s">
        <v>799</v>
      </c>
      <c r="B38" s="258" t="s">
        <v>2390</v>
      </c>
      <c r="C38" s="263">
        <f ca="1">ROUND(C34*F38,0)</f>
        <v>40</v>
      </c>
      <c r="D38" s="263"/>
      <c r="E38" s="263"/>
      <c r="F38" s="302">
        <f>'数据-取费表'!B36</f>
        <v>1.4999999999999999E-2</v>
      </c>
      <c r="G38" s="262" t="s">
        <v>2385</v>
      </c>
    </row>
    <row r="39" spans="1:7" s="257" customFormat="1" ht="13.5" customHeight="1">
      <c r="A39" s="298" t="s">
        <v>2391</v>
      </c>
      <c r="B39" s="253" t="s">
        <v>2392</v>
      </c>
      <c r="C39" s="275">
        <f ca="1">ROUND(C33*F20,0)</f>
        <v>64</v>
      </c>
      <c r="D39" s="275"/>
      <c r="E39" s="275"/>
      <c r="F39" s="276"/>
      <c r="G39" s="277" t="s">
        <v>2393</v>
      </c>
    </row>
    <row r="40" spans="1:7" s="257" customFormat="1" ht="13.5" customHeight="1">
      <c r="A40" s="298" t="s">
        <v>2394</v>
      </c>
      <c r="B40" s="253" t="s">
        <v>2395</v>
      </c>
      <c r="C40" s="1730">
        <f>F21</f>
        <v>0.02</v>
      </c>
      <c r="D40" s="279" t="s">
        <v>2396</v>
      </c>
      <c r="E40" s="275"/>
      <c r="F40" s="276"/>
      <c r="G40" s="277" t="s">
        <v>2397</v>
      </c>
    </row>
    <row r="41" spans="1:7" s="257" customFormat="1" ht="13.5" customHeight="1">
      <c r="A41" s="298" t="s">
        <v>2398</v>
      </c>
      <c r="B41" s="253" t="s">
        <v>2399</v>
      </c>
      <c r="C41" s="275">
        <f ca="1">ROUND(SUM(C42:C43),0)</f>
        <v>70</v>
      </c>
      <c r="D41" s="278">
        <f ca="1">C44</f>
        <v>4.0000000000000002E-4</v>
      </c>
      <c r="E41" s="279" t="s">
        <v>2396</v>
      </c>
      <c r="F41" s="280"/>
      <c r="G41" s="277" t="str">
        <f>IF('数据-取费表'!B22&lt;=1,"单利计息","复利计息")</f>
        <v>单利计息</v>
      </c>
    </row>
    <row r="42" spans="1:7" ht="13.5" customHeight="1">
      <c r="A42" s="953" t="s">
        <v>791</v>
      </c>
      <c r="B42" s="258" t="s">
        <v>2400</v>
      </c>
      <c r="C42" s="281">
        <f ca="1">ROUND(IF('数据-取费表'!B22&lt;=1,C33*F22*'数据-取费表'!B21/2,C33*(POWER((1+F22),'数据-取费表'!B21/2)-1)),0)</f>
        <v>69</v>
      </c>
      <c r="D42" s="281"/>
      <c r="E42" s="281"/>
      <c r="F42" s="282"/>
      <c r="G42" s="3201" t="s">
        <v>2401</v>
      </c>
    </row>
    <row r="43" spans="1:7" ht="13.5" customHeight="1">
      <c r="A43" s="953" t="s">
        <v>792</v>
      </c>
      <c r="B43" s="258" t="s">
        <v>2402</v>
      </c>
      <c r="C43" s="281">
        <f ca="1">ROUND(IF('数据-取费表'!B22&lt;=1,C39*F22*'数据-取费表'!B21/2,C39*(POWER((1+F22),'数据-取费表'!B21/2)-1)),0)</f>
        <v>1</v>
      </c>
      <c r="D43" s="281"/>
      <c r="E43" s="281"/>
      <c r="F43" s="282"/>
      <c r="G43" s="3202"/>
    </row>
    <row r="44" spans="1:7" ht="13.5" customHeight="1">
      <c r="A44" s="953" t="s">
        <v>793</v>
      </c>
      <c r="B44" s="258" t="s">
        <v>2403</v>
      </c>
      <c r="C44" s="281">
        <f ca="1">ROUND(IF('数据-取费表'!B22&lt;=1,C40*F22*'数据-取费表'!B21/2,C40*(POWER((1+F22),'数据-取费表'!B21/2)-1)),4)</f>
        <v>4.0000000000000002E-4</v>
      </c>
      <c r="D44" s="281"/>
      <c r="E44" s="281"/>
      <c r="F44" s="282"/>
      <c r="G44" s="3203"/>
    </row>
    <row r="45" spans="1:7" s="257" customFormat="1" ht="13.5" customHeight="1">
      <c r="A45" s="298" t="s">
        <v>2404</v>
      </c>
      <c r="B45" s="287" t="s">
        <v>2370</v>
      </c>
      <c r="C45" s="288">
        <f ca="1">C46</f>
        <v>324</v>
      </c>
      <c r="D45" s="278">
        <f ca="1">C47</f>
        <v>2E-3</v>
      </c>
      <c r="E45" s="279" t="s">
        <v>2396</v>
      </c>
      <c r="F45" s="289"/>
      <c r="G45" s="290" t="s">
        <v>2405</v>
      </c>
    </row>
    <row r="46" spans="1:7" s="257" customFormat="1" ht="13.5" customHeight="1">
      <c r="A46" s="953" t="s">
        <v>791</v>
      </c>
      <c r="B46" s="291" t="s">
        <v>2406</v>
      </c>
      <c r="C46" s="292">
        <f ca="1">ROUND((C33+C39)*F27,0)</f>
        <v>324</v>
      </c>
      <c r="D46" s="306"/>
      <c r="E46" s="279"/>
      <c r="F46" s="289"/>
      <c r="G46" s="290"/>
    </row>
    <row r="47" spans="1:7" s="257" customFormat="1" ht="13.5" customHeight="1">
      <c r="A47" s="953" t="s">
        <v>792</v>
      </c>
      <c r="B47" s="291" t="s">
        <v>2407</v>
      </c>
      <c r="C47" s="281">
        <f ca="1">ROUND(C40*F27,4)</f>
        <v>2E-3</v>
      </c>
      <c r="D47" s="306"/>
      <c r="E47" s="279"/>
      <c r="F47" s="289"/>
      <c r="G47" s="290"/>
    </row>
    <row r="48" spans="1:7" s="257" customFormat="1" ht="13.5" customHeight="1">
      <c r="A48" s="298" t="s">
        <v>2369</v>
      </c>
      <c r="B48" s="253" t="s">
        <v>2408</v>
      </c>
      <c r="C48" s="1730">
        <f>ROUND(F30/(1+'数据-取费表'!C42),4)</f>
        <v>5.2400000000000002E-2</v>
      </c>
      <c r="D48" s="279" t="s">
        <v>2396</v>
      </c>
      <c r="E48" s="275"/>
      <c r="F48" s="280"/>
      <c r="G48" s="277" t="s">
        <v>2409</v>
      </c>
    </row>
    <row r="49" spans="1:7" ht="16.5" customHeight="1">
      <c r="A49" s="298" t="s">
        <v>2375</v>
      </c>
      <c r="B49" s="253" t="s">
        <v>2410</v>
      </c>
      <c r="C49" s="275">
        <f ca="1">ROUND((C33+C39+C41+C45)/(1-C40-D41-D45-C48),0)</f>
        <v>3931</v>
      </c>
      <c r="D49" s="275"/>
      <c r="E49" s="275"/>
      <c r="F49" s="307"/>
      <c r="G49" s="277" t="s">
        <v>2411</v>
      </c>
    </row>
    <row r="50" spans="1:7" s="301" customFormat="1" ht="24">
      <c r="A50" s="298" t="s">
        <v>2412</v>
      </c>
      <c r="B50" s="253" t="s">
        <v>2413</v>
      </c>
      <c r="C50" s="275"/>
      <c r="D50" s="275"/>
      <c r="E50" s="275"/>
      <c r="F50" s="307">
        <f>IF('数据-取费表'!B24=0,'数据-取费表'!N16,1)</f>
        <v>0.99</v>
      </c>
      <c r="G50" s="290" t="s">
        <v>2414</v>
      </c>
    </row>
    <row r="51" spans="1:7" ht="16.5" customHeight="1">
      <c r="A51" s="298" t="s">
        <v>2415</v>
      </c>
      <c r="B51" s="253" t="s">
        <v>2416</v>
      </c>
      <c r="C51" s="275">
        <f ca="1">ROUND(C49*F50,0)</f>
        <v>3892</v>
      </c>
      <c r="D51" s="275"/>
      <c r="E51" s="275"/>
      <c r="F51" s="307"/>
      <c r="G51" s="277" t="s">
        <v>2417</v>
      </c>
    </row>
    <row r="52" spans="1:7" s="251" customFormat="1" ht="16.5" thickBot="1">
      <c r="A52" s="308" t="s">
        <v>2418</v>
      </c>
      <c r="B52" s="309"/>
      <c r="C52" s="310">
        <f ca="1">C31+C51</f>
        <v>5240</v>
      </c>
      <c r="D52" s="309"/>
      <c r="E52" s="309"/>
      <c r="F52" s="309"/>
      <c r="G52" s="311"/>
    </row>
    <row r="55" spans="1:7" ht="15">
      <c r="B55" s="313" t="s">
        <v>2419</v>
      </c>
      <c r="C55" s="314"/>
    </row>
    <row r="56" spans="1:7">
      <c r="B56" s="316" t="s">
        <v>1509</v>
      </c>
      <c r="C56" s="318">
        <f ca="1">1-C57</f>
        <v>0.25700000000000001</v>
      </c>
    </row>
    <row r="57" spans="1:7">
      <c r="B57" s="316" t="s">
        <v>1510</v>
      </c>
      <c r="C57" s="317">
        <f ca="1">ROUND(C51/C52,3)</f>
        <v>0.74299999999999999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9"/>
      <c r="C1" s="2554" t="s">
        <v>2420</v>
      </c>
      <c r="D1" s="241"/>
      <c r="E1" s="241"/>
      <c r="F1" s="241"/>
      <c r="G1" s="1381">
        <f>MATCH(B1,'数据-取费表'!A6:A16,0)+5</f>
        <v>7</v>
      </c>
      <c r="H1" s="1284" t="str">
        <f>IF(ISERROR(FIND("住宅",B1)),"非住宅","住宅")</f>
        <v>非住宅</v>
      </c>
    </row>
    <row r="2" spans="1:8" s="243" customFormat="1" ht="18" customHeight="1">
      <c r="A2" s="244" t="s">
        <v>2319</v>
      </c>
      <c r="B2" s="245">
        <f ca="1">ROUND(IF(D2="——",C52/10000,C52/10000-E2),0)</f>
        <v>4301</v>
      </c>
      <c r="C2" s="242" t="s">
        <v>2320</v>
      </c>
      <c r="D2" s="2548" t="s">
        <v>70</v>
      </c>
      <c r="E2" s="1442" t="e">
        <f ca="1">SUMIF(INDIRECT("'"&amp;G2&amp;"'"&amp;"!A:A"),"承租人权益价值",INDIRECT("'"&amp;G2&amp;"'"&amp;"!c:c"))</f>
        <v>#REF!</v>
      </c>
      <c r="F2" s="2549" t="s">
        <v>2320</v>
      </c>
      <c r="G2" s="2550"/>
    </row>
    <row r="3" spans="1:8" s="243" customFormat="1" ht="18" customHeight="1" thickBot="1">
      <c r="A3" s="246" t="s">
        <v>2321</v>
      </c>
      <c r="B3" s="247">
        <f ca="1">ROUND(B2*10000/(IF(B1="",'数据-汇总表'!E3,INDIRECT("'数据-取费表'!k"&amp;$G$1))),0)</f>
        <v>2391</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0</v>
      </c>
      <c r="D5" s="254" t="s">
        <v>2326</v>
      </c>
      <c r="E5" s="255" t="s">
        <v>2327</v>
      </c>
      <c r="F5" s="255" t="s">
        <v>2328</v>
      </c>
      <c r="G5" s="256"/>
    </row>
    <row r="6" spans="1:8" s="257" customFormat="1" ht="13.5" customHeight="1">
      <c r="A6" s="951" t="s">
        <v>2329</v>
      </c>
      <c r="B6" s="258" t="s">
        <v>2330</v>
      </c>
      <c r="C6" s="259"/>
      <c r="D6" s="260"/>
      <c r="E6" s="261"/>
      <c r="F6" s="261"/>
      <c r="G6" s="262"/>
    </row>
    <row r="7" spans="1:8" s="257" customFormat="1" ht="13.5" customHeight="1">
      <c r="A7" s="951" t="s">
        <v>2331</v>
      </c>
      <c r="B7" s="258" t="s">
        <v>2332</v>
      </c>
      <c r="C7" s="263">
        <f>ROUND(C6*F7,0)</f>
        <v>0</v>
      </c>
      <c r="D7" s="263"/>
      <c r="E7" s="261"/>
      <c r="F7" s="264">
        <f>'数据-取费表'!B48+'数据-取费表'!B49</f>
        <v>3.0499999999999999E-2</v>
      </c>
      <c r="G7" s="262"/>
    </row>
    <row r="8" spans="1:8" s="266" customFormat="1">
      <c r="A8" s="951" t="s">
        <v>2333</v>
      </c>
      <c r="B8" s="258" t="s">
        <v>2334</v>
      </c>
      <c r="C8" s="263">
        <f ca="1">IF(G8="已包含在土地购买价格中",0,C9+C10)</f>
        <v>0</v>
      </c>
      <c r="D8" s="265"/>
      <c r="E8" s="263"/>
      <c r="F8" s="264"/>
      <c r="G8" s="2551"/>
    </row>
    <row r="9" spans="1:8" s="257" customFormat="1" ht="13.5" customHeight="1">
      <c r="A9" s="952" t="s">
        <v>800</v>
      </c>
      <c r="B9" s="267" t="s">
        <v>2335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2337</v>
      </c>
      <c r="C10" s="268">
        <f ca="1">ROUND(D10*E10,0)</f>
        <v>0</v>
      </c>
      <c r="D10" s="1034">
        <f ca="1">IF(B1="",'数据-汇总表'!E6,IF(INDIRECT("'数据-取费表'!c"&amp;$G$1)="住宅",INDIRECT("'数据-取费表'!s"&amp;$G$1),INDIRECT("'数据-取费表'!k"&amp;$G$1)+INDIRECT("'数据-取费表'!s"&amp;$G$1)))</f>
        <v>17987.810000000001</v>
      </c>
      <c r="E10" s="268">
        <f>'数据-取费表'!B28</f>
        <v>0</v>
      </c>
      <c r="F10" s="264"/>
      <c r="G10" s="269"/>
    </row>
    <row r="11" spans="1:8" s="257" customFormat="1" ht="13.5" hidden="1" customHeight="1">
      <c r="A11" s="270" t="s">
        <v>7</v>
      </c>
      <c r="B11" s="258" t="s">
        <v>2338</v>
      </c>
      <c r="C11" s="254"/>
      <c r="D11" s="1036"/>
      <c r="E11" s="261"/>
      <c r="F11" s="261"/>
      <c r="G11" s="262"/>
    </row>
    <row r="12" spans="1:8" s="257" customFormat="1" ht="13.5" hidden="1" customHeight="1">
      <c r="A12" s="270" t="s">
        <v>8</v>
      </c>
      <c r="B12" s="258" t="s">
        <v>2421</v>
      </c>
      <c r="C12" s="254">
        <v>0</v>
      </c>
      <c r="D12" s="1036"/>
      <c r="E12" s="271"/>
      <c r="F12" s="264">
        <v>3.0499999999999999E-2</v>
      </c>
      <c r="G12" s="262"/>
    </row>
    <row r="13" spans="1:8" s="257" customFormat="1" ht="13.5" hidden="1" customHeight="1">
      <c r="A13" s="270" t="s">
        <v>9</v>
      </c>
      <c r="B13" s="258" t="s">
        <v>2422</v>
      </c>
      <c r="C13" s="254"/>
      <c r="D13" s="1036"/>
      <c r="E13" s="261"/>
      <c r="F13" s="261"/>
      <c r="G13" s="262"/>
    </row>
    <row r="14" spans="1:8" s="257" customFormat="1" ht="13.5" hidden="1" customHeight="1">
      <c r="A14" s="270" t="s">
        <v>10</v>
      </c>
      <c r="B14" s="258" t="s">
        <v>2334</v>
      </c>
      <c r="C14" s="254"/>
      <c r="D14" s="1036"/>
      <c r="E14" s="261"/>
      <c r="F14" s="261"/>
      <c r="G14" s="262" t="s">
        <v>2423</v>
      </c>
    </row>
    <row r="15" spans="1:8" s="257" customFormat="1" ht="13.5" hidden="1" customHeight="1">
      <c r="A15" s="270" t="s">
        <v>11</v>
      </c>
      <c r="B15" s="258" t="s">
        <v>2424</v>
      </c>
      <c r="C15" s="263"/>
      <c r="D15" s="1036"/>
      <c r="E15" s="261"/>
      <c r="F15" s="261"/>
      <c r="G15" s="262" t="s">
        <v>2425</v>
      </c>
    </row>
    <row r="16" spans="1:8" s="257" customFormat="1" ht="13.5" hidden="1" customHeight="1">
      <c r="A16" s="270" t="s">
        <v>12</v>
      </c>
      <c r="B16" s="258" t="s">
        <v>2334</v>
      </c>
      <c r="C16" s="263"/>
      <c r="D16" s="1036"/>
      <c r="E16" s="261"/>
      <c r="F16" s="261"/>
      <c r="G16" s="262"/>
    </row>
    <row r="17" spans="1:7" s="257" customFormat="1" ht="13.5" hidden="1" customHeight="1">
      <c r="A17" s="270" t="s">
        <v>13</v>
      </c>
      <c r="B17" s="258" t="s">
        <v>2426</v>
      </c>
      <c r="C17" s="272"/>
      <c r="D17" s="1037"/>
      <c r="E17" s="272"/>
      <c r="F17" s="272"/>
      <c r="G17" s="262" t="s">
        <v>2425</v>
      </c>
    </row>
    <row r="18" spans="1:7" s="257" customFormat="1" ht="13.5" hidden="1" customHeight="1">
      <c r="A18" s="270" t="s">
        <v>14</v>
      </c>
      <c r="B18" s="258" t="s">
        <v>2427</v>
      </c>
      <c r="C18" s="263">
        <v>0</v>
      </c>
      <c r="D18" s="1036"/>
      <c r="E18" s="261"/>
      <c r="F18" s="264">
        <v>3.0499999999999999E-2</v>
      </c>
      <c r="G18" s="262" t="s">
        <v>2428</v>
      </c>
    </row>
    <row r="19" spans="1:7" s="266" customFormat="1" ht="13.5" customHeight="1">
      <c r="A19" s="298" t="s">
        <v>2429</v>
      </c>
      <c r="B19" s="253" t="s">
        <v>2430</v>
      </c>
      <c r="C19" s="254">
        <f ca="1">IF(G19="已包含在土地取得成本中","0",ROUND(D19*E19,0))</f>
        <v>3237806</v>
      </c>
      <c r="D19" s="1038">
        <f ca="1">D9+D10</f>
        <v>17987.810000000001</v>
      </c>
      <c r="E19" s="254">
        <f>'数据-取费表'!B31</f>
        <v>180</v>
      </c>
      <c r="F19" s="274"/>
      <c r="G19" s="2551"/>
    </row>
    <row r="20" spans="1:7" s="257" customFormat="1" ht="13.5" customHeight="1">
      <c r="A20" s="298" t="s">
        <v>2431</v>
      </c>
      <c r="B20" s="253" t="s">
        <v>2432</v>
      </c>
      <c r="C20" s="275">
        <f ca="1">ROUND((C5+C19)*F20,0)</f>
        <v>64756</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82">
        <f ca="1">ROUND(SUM(C23:C25),0)</f>
        <v>142253</v>
      </c>
      <c r="D22" s="278">
        <f ca="1">C26</f>
        <v>4.0000000000000002E-4</v>
      </c>
      <c r="E22" s="279" t="s">
        <v>2436</v>
      </c>
      <c r="F22" s="280">
        <f ca="1">'数据-取费表'!B40</f>
        <v>4.3499999999999997E-2</v>
      </c>
      <c r="G22" s="277" t="str">
        <f>IF('数据-取费表'!B22&lt;=1,"单利计息","复利计息")</f>
        <v>单利计息</v>
      </c>
    </row>
    <row r="23" spans="1:7" s="257" customFormat="1" ht="13.5" customHeight="1">
      <c r="A23" s="953" t="s">
        <v>2329</v>
      </c>
      <c r="B23" s="258" t="s">
        <v>2440</v>
      </c>
      <c r="C23" s="1383">
        <f ca="1">ROUND(IF('数据-取费表'!B22&lt;=1,C5*F22*'数据-取费表'!B22,C5*(POWER((1+F22),'数据-取费表'!B22)-1)),0)</f>
        <v>0</v>
      </c>
      <c r="D23" s="281"/>
      <c r="E23" s="281"/>
      <c r="F23" s="282"/>
      <c r="G23" s="283" t="s">
        <v>2441</v>
      </c>
    </row>
    <row r="24" spans="1:7" s="257" customFormat="1" ht="13.5" customHeight="1">
      <c r="A24" s="953" t="s">
        <v>2331</v>
      </c>
      <c r="B24" s="258" t="s">
        <v>2442</v>
      </c>
      <c r="C24" s="1383">
        <f ca="1">ROUND(IF('数据-取费表'!B22&lt;=1,C19*F22*('数据-取费表'!B19/2+'数据-取费表'!B20),C19*(POWER((1+F22),('数据-取费表'!B19/2+'数据-取费表'!B20))-1)),0)</f>
        <v>140845</v>
      </c>
      <c r="D24" s="281"/>
      <c r="E24" s="281"/>
      <c r="F24" s="282"/>
      <c r="G24" s="283" t="s">
        <v>2443</v>
      </c>
    </row>
    <row r="25" spans="1:7" s="257" customFormat="1" ht="24">
      <c r="A25" s="953" t="s">
        <v>2333</v>
      </c>
      <c r="B25" s="258" t="s">
        <v>2444</v>
      </c>
      <c r="C25" s="1383">
        <f ca="1">ROUND(IF('数据-取费表'!B22&lt;=1,C20*F22*'数据-取费表'!B22/2,C20*(POWER((1+F22),'数据-取费表'!B22/2)-1)),0)</f>
        <v>1408</v>
      </c>
      <c r="D25" s="281"/>
      <c r="E25" s="284"/>
      <c r="F25" s="282"/>
      <c r="G25" s="285" t="s">
        <v>2445</v>
      </c>
    </row>
    <row r="26" spans="1:7" s="257" customFormat="1">
      <c r="A26" s="953" t="s">
        <v>795</v>
      </c>
      <c r="B26" s="258" t="s">
        <v>2368</v>
      </c>
      <c r="C26" s="281">
        <f ca="1">ROUND(IF('数据-取费表'!B22&lt;=1,F21*F22*'数据-取费表'!B22/2,F21*(POWER((1+F22),'数据-取费表'!B22/2)-1)),4)</f>
        <v>4.0000000000000002E-4</v>
      </c>
      <c r="D26" s="281"/>
      <c r="E26" s="284"/>
      <c r="F26" s="282"/>
      <c r="G26" s="286"/>
    </row>
    <row r="27" spans="1:7" s="257" customFormat="1" ht="24.75">
      <c r="A27" s="298" t="s">
        <v>2369</v>
      </c>
      <c r="B27" s="287" t="s">
        <v>2370</v>
      </c>
      <c r="C27" s="288">
        <f ca="1">C28</f>
        <v>330256</v>
      </c>
      <c r="D27" s="278">
        <f ca="1">C29</f>
        <v>2E-3</v>
      </c>
      <c r="E27" s="279" t="s">
        <v>2371</v>
      </c>
      <c r="F27" s="289">
        <f ca="1">IF(B1="",'数据-取费表'!Q16,INDIRECT("'数据-取费表'!q"&amp;$G$1))</f>
        <v>0.1</v>
      </c>
      <c r="G27" s="290" t="s">
        <v>2372</v>
      </c>
    </row>
    <row r="28" spans="1:7" s="257" customFormat="1" ht="13.5" customHeight="1">
      <c r="A28" s="953" t="s">
        <v>791</v>
      </c>
      <c r="B28" s="291" t="s">
        <v>2373</v>
      </c>
      <c r="C28" s="292">
        <f ca="1">ROUND((C5+C19+C20)*F27,0)</f>
        <v>330256</v>
      </c>
      <c r="D28" s="278"/>
      <c r="E28" s="279"/>
      <c r="F28" s="289"/>
      <c r="G28" s="290"/>
    </row>
    <row r="29" spans="1:7" s="257" customFormat="1" ht="13.5" customHeight="1">
      <c r="A29" s="953" t="s">
        <v>792</v>
      </c>
      <c r="B29" s="291" t="s">
        <v>2374</v>
      </c>
      <c r="C29" s="281">
        <f ca="1">ROUND(C21*F27,4)</f>
        <v>2E-3</v>
      </c>
      <c r="D29" s="278"/>
      <c r="E29" s="279"/>
      <c r="F29" s="289"/>
      <c r="G29" s="290"/>
    </row>
    <row r="30" spans="1:7" s="257" customFormat="1" ht="13.5" customHeight="1">
      <c r="A30" s="298" t="s">
        <v>2375</v>
      </c>
      <c r="B30" s="253" t="s">
        <v>2376</v>
      </c>
      <c r="C30" s="278">
        <f>ROUND(F30/(1+'数据-取费表'!C42),4)</f>
        <v>5.2400000000000002E-2</v>
      </c>
      <c r="D30" s="279" t="s">
        <v>2371</v>
      </c>
      <c r="E30" s="284"/>
      <c r="F30" s="280">
        <f>'数据-取费表'!B41</f>
        <v>5.5000000000000007E-2</v>
      </c>
      <c r="G30" s="277" t="s">
        <v>2377</v>
      </c>
    </row>
    <row r="31" spans="1:7" ht="16.5" customHeight="1">
      <c r="A31" s="252">
        <v>1</v>
      </c>
      <c r="B31" s="253" t="s">
        <v>2378</v>
      </c>
      <c r="C31" s="254">
        <f ca="1">ROUND((C5+C19+C20+C22+C27)/(1-C21-D22-D27-C30),0)</f>
        <v>4080276</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31793454</v>
      </c>
      <c r="D33" s="275"/>
      <c r="E33" s="255"/>
      <c r="F33" s="284"/>
      <c r="G33" s="277"/>
    </row>
    <row r="34" spans="1:7" s="301" customFormat="1" ht="13.5" customHeight="1">
      <c r="A34" s="953" t="s">
        <v>791</v>
      </c>
      <c r="B34" s="258" t="s">
        <v>2382</v>
      </c>
      <c r="C34" s="263">
        <f ca="1">ROUND(IF(B1="",SUMPRODUCT('数据-取费表'!K6:K14,'数据-取费表'!L6:L14),INDIRECT("'数据-取费表'!l"&amp;$G$1)*INDIRECT("'数据-取费表'!k"&amp;$G$1)+'数据-取费表'!L14*INDIRECT("'数据-取费表'!S"&amp;$G$1)),0)</f>
        <v>26981715</v>
      </c>
      <c r="D34" s="260"/>
      <c r="E34" s="263"/>
      <c r="F34" s="300"/>
      <c r="G34" s="262"/>
    </row>
    <row r="35" spans="1:7" ht="13.5" customHeight="1">
      <c r="A35" s="953" t="s">
        <v>796</v>
      </c>
      <c r="B35" s="258" t="s">
        <v>2384</v>
      </c>
      <c r="C35" s="263">
        <f ca="1">ROUND(C34*F35,0)</f>
        <v>809451</v>
      </c>
      <c r="D35" s="263"/>
      <c r="E35" s="263"/>
      <c r="F35" s="302">
        <f>'数据-取费表'!B33</f>
        <v>0.03</v>
      </c>
      <c r="G35" s="262" t="s">
        <v>2385</v>
      </c>
    </row>
    <row r="36" spans="1:7" ht="24">
      <c r="A36" s="953" t="s">
        <v>797</v>
      </c>
      <c r="B36" s="258" t="s">
        <v>2386</v>
      </c>
      <c r="C36" s="263">
        <f ca="1">ROUND(IF(B1="",SUM('数据-取费表'!AP6:AP13)*F36,IF(INDIRECT("'数据-取费表'!c"&amp;$G$1)="住宅",INDIRECT("'数据-取费表'!k"&amp;$G$1)*INDIRECT("'数据-取费表'!l"&amp;$G$1)*F36,0)),0)</f>
        <v>0</v>
      </c>
      <c r="D36" s="263"/>
      <c r="E36" s="263"/>
      <c r="F36" s="302">
        <f>'数据-取费表'!B34</f>
        <v>0.02</v>
      </c>
      <c r="G36" s="303" t="s">
        <v>2387</v>
      </c>
    </row>
    <row r="37" spans="1:7" s="301" customFormat="1" ht="13.5" customHeight="1">
      <c r="A37" s="953" t="s">
        <v>798</v>
      </c>
      <c r="B37" s="258" t="s">
        <v>2388</v>
      </c>
      <c r="C37" s="292">
        <f ca="1">ROUND(E37*D37,0)</f>
        <v>3597562</v>
      </c>
      <c r="D37" s="260">
        <f ca="1">D19</f>
        <v>17987.810000000001</v>
      </c>
      <c r="E37" s="292">
        <f>'数据-取费表'!B35</f>
        <v>200</v>
      </c>
      <c r="F37" s="302"/>
      <c r="G37" s="304"/>
    </row>
    <row r="38" spans="1:7" ht="13.5" customHeight="1">
      <c r="A38" s="953" t="s">
        <v>799</v>
      </c>
      <c r="B38" s="258" t="s">
        <v>2390</v>
      </c>
      <c r="C38" s="263">
        <f ca="1">ROUND(C34*F38,0)</f>
        <v>404726</v>
      </c>
      <c r="D38" s="263"/>
      <c r="E38" s="263"/>
      <c r="F38" s="302">
        <f>'数据-取费表'!B36</f>
        <v>1.4999999999999999E-2</v>
      </c>
      <c r="G38" s="262" t="s">
        <v>2385</v>
      </c>
    </row>
    <row r="39" spans="1:7" s="257" customFormat="1" ht="13.5" customHeight="1">
      <c r="A39" s="298" t="s">
        <v>2391</v>
      </c>
      <c r="B39" s="253" t="s">
        <v>2392</v>
      </c>
      <c r="C39" s="275">
        <f ca="1">ROUND(C33*F20,0)</f>
        <v>635869</v>
      </c>
      <c r="D39" s="275"/>
      <c r="E39" s="275"/>
      <c r="F39" s="276"/>
      <c r="G39" s="277" t="s">
        <v>2393</v>
      </c>
    </row>
    <row r="40" spans="1:7" s="257" customFormat="1" ht="13.5" customHeight="1">
      <c r="A40" s="298" t="s">
        <v>2394</v>
      </c>
      <c r="B40" s="253" t="s">
        <v>2395</v>
      </c>
      <c r="C40" s="1730">
        <f>F21</f>
        <v>0.02</v>
      </c>
      <c r="D40" s="279" t="s">
        <v>2396</v>
      </c>
      <c r="E40" s="275"/>
      <c r="F40" s="276"/>
      <c r="G40" s="277" t="s">
        <v>2397</v>
      </c>
    </row>
    <row r="41" spans="1:7" s="257" customFormat="1" ht="13.5" customHeight="1">
      <c r="A41" s="298" t="s">
        <v>2398</v>
      </c>
      <c r="B41" s="253" t="s">
        <v>2399</v>
      </c>
      <c r="C41" s="275">
        <f ca="1">ROUND(SUM(C42:C43),0)</f>
        <v>705338</v>
      </c>
      <c r="D41" s="278">
        <f ca="1">C44</f>
        <v>4.0000000000000002E-4</v>
      </c>
      <c r="E41" s="279" t="s">
        <v>2396</v>
      </c>
      <c r="F41" s="280"/>
      <c r="G41" s="277" t="str">
        <f>IF('数据-取费表'!B22&lt;=1,"单利计息","复利计息")</f>
        <v>单利计息</v>
      </c>
    </row>
    <row r="42" spans="1:7" ht="13.5" customHeight="1">
      <c r="A42" s="953" t="s">
        <v>791</v>
      </c>
      <c r="B42" s="258" t="s">
        <v>2400</v>
      </c>
      <c r="C42" s="281">
        <f ca="1">ROUND(IF('数据-取费表'!B22&lt;=1,C33*F22*'数据-取费表'!B20/2,C33*(POWER((1+F22),'数据-取费表'!B20/2)-1)),0)</f>
        <v>691508</v>
      </c>
      <c r="D42" s="281"/>
      <c r="E42" s="281"/>
      <c r="F42" s="282"/>
      <c r="G42" s="3201" t="s">
        <v>2448</v>
      </c>
    </row>
    <row r="43" spans="1:7" ht="13.5" customHeight="1">
      <c r="A43" s="953" t="s">
        <v>792</v>
      </c>
      <c r="B43" s="258" t="s">
        <v>2402</v>
      </c>
      <c r="C43" s="281">
        <f ca="1">ROUND(IF('数据-取费表'!B22&lt;=1,C39*F22*'数据-取费表'!B20/2,C39*(POWER((1+F22),'数据-取费表'!B20/2)-1)),0)</f>
        <v>13830</v>
      </c>
      <c r="D43" s="281"/>
      <c r="E43" s="281"/>
      <c r="F43" s="282"/>
      <c r="G43" s="3202"/>
    </row>
    <row r="44" spans="1:7" ht="13.5" customHeight="1">
      <c r="A44" s="953" t="s">
        <v>793</v>
      </c>
      <c r="B44" s="258" t="s">
        <v>2403</v>
      </c>
      <c r="C44" s="281">
        <f ca="1">ROUND(IF('数据-取费表'!B22&lt;=1,C40*F22*'数据-取费表'!B20/2,C40*(POWER((1+F22),'数据-取费表'!B20/2)-1)),4)</f>
        <v>4.0000000000000002E-4</v>
      </c>
      <c r="D44" s="281"/>
      <c r="E44" s="281"/>
      <c r="F44" s="282"/>
      <c r="G44" s="3203"/>
    </row>
    <row r="45" spans="1:7" s="257" customFormat="1" ht="13.5" customHeight="1">
      <c r="A45" s="298" t="s">
        <v>2404</v>
      </c>
      <c r="B45" s="287" t="s">
        <v>2370</v>
      </c>
      <c r="C45" s="288">
        <f ca="1">C46</f>
        <v>3242932</v>
      </c>
      <c r="D45" s="278">
        <f ca="1">C47</f>
        <v>2E-3</v>
      </c>
      <c r="E45" s="279" t="s">
        <v>2396</v>
      </c>
      <c r="F45" s="289"/>
      <c r="G45" s="290" t="s">
        <v>2405</v>
      </c>
    </row>
    <row r="46" spans="1:7" s="257" customFormat="1" ht="13.5" customHeight="1">
      <c r="A46" s="953" t="s">
        <v>791</v>
      </c>
      <c r="B46" s="291" t="s">
        <v>2406</v>
      </c>
      <c r="C46" s="292">
        <f ca="1">ROUND((C33+C39)*F27,0)</f>
        <v>3242932</v>
      </c>
      <c r="D46" s="306"/>
      <c r="E46" s="279"/>
      <c r="F46" s="289"/>
      <c r="G46" s="290"/>
    </row>
    <row r="47" spans="1:7" s="257" customFormat="1" ht="13.5" customHeight="1">
      <c r="A47" s="953" t="s">
        <v>792</v>
      </c>
      <c r="B47" s="291" t="s">
        <v>2407</v>
      </c>
      <c r="C47" s="281">
        <f ca="1">ROUND(C40*F27,4)</f>
        <v>2E-3</v>
      </c>
      <c r="D47" s="306"/>
      <c r="E47" s="279"/>
      <c r="F47" s="289"/>
      <c r="G47" s="290"/>
    </row>
    <row r="48" spans="1:7" s="257" customFormat="1" ht="13.5" customHeight="1">
      <c r="A48" s="298" t="s">
        <v>2369</v>
      </c>
      <c r="B48" s="253" t="s">
        <v>2408</v>
      </c>
      <c r="C48" s="305">
        <f>ROUND(F30/(1+'数据-取费表'!C42),4)</f>
        <v>5.2400000000000002E-2</v>
      </c>
      <c r="D48" s="279" t="s">
        <v>2396</v>
      </c>
      <c r="E48" s="275"/>
      <c r="F48" s="280"/>
      <c r="G48" s="277" t="s">
        <v>2409</v>
      </c>
    </row>
    <row r="49" spans="1:7" ht="16.5" customHeight="1">
      <c r="A49" s="298" t="s">
        <v>2375</v>
      </c>
      <c r="B49" s="253" t="s">
        <v>2449</v>
      </c>
      <c r="C49" s="275">
        <f ca="1">ROUND((C33+C39+C41+C45)/(1-C40-D41-D45-C48),0)</f>
        <v>39318626</v>
      </c>
      <c r="D49" s="275"/>
      <c r="E49" s="275"/>
      <c r="F49" s="307"/>
      <c r="G49" s="277" t="s">
        <v>2411</v>
      </c>
    </row>
    <row r="50" spans="1:7" s="301" customFormat="1">
      <c r="A50" s="298" t="s">
        <v>2412</v>
      </c>
      <c r="B50" s="253" t="s">
        <v>2413</v>
      </c>
      <c r="C50" s="275"/>
      <c r="D50" s="275"/>
      <c r="E50" s="275"/>
      <c r="F50" s="307">
        <f>IF('数据-取费表'!B24=0,'数据-取费表'!N16,1)</f>
        <v>0.99</v>
      </c>
      <c r="G50" s="290"/>
    </row>
    <row r="51" spans="1:7" ht="16.5" customHeight="1">
      <c r="A51" s="298" t="s">
        <v>2415</v>
      </c>
      <c r="B51" s="253" t="s">
        <v>2450</v>
      </c>
      <c r="C51" s="275">
        <f ca="1">ROUND(C49*F50,0)</f>
        <v>38925440</v>
      </c>
      <c r="D51" s="275"/>
      <c r="E51" s="275"/>
      <c r="F51" s="307"/>
      <c r="G51" s="277" t="s">
        <v>2417</v>
      </c>
    </row>
    <row r="52" spans="1:7" s="251" customFormat="1" ht="16.5" thickBot="1">
      <c r="A52" s="308" t="s">
        <v>2418</v>
      </c>
      <c r="B52" s="309"/>
      <c r="C52" s="310">
        <f ca="1">C31+C51</f>
        <v>43005716</v>
      </c>
      <c r="D52" s="309"/>
      <c r="E52" s="309"/>
      <c r="F52" s="309"/>
      <c r="G52" s="311"/>
    </row>
    <row r="55" spans="1:7" ht="15">
      <c r="B55" s="313" t="s">
        <v>2419</v>
      </c>
      <c r="C55" s="314"/>
    </row>
    <row r="56" spans="1:7">
      <c r="B56" s="316" t="s">
        <v>1509</v>
      </c>
      <c r="C56" s="318">
        <f ca="1">1-C57</f>
        <v>9.4999999999999973E-2</v>
      </c>
    </row>
    <row r="57" spans="1:7">
      <c r="B57" s="316" t="s">
        <v>1510</v>
      </c>
      <c r="C57" s="317">
        <f ca="1">ROUND(C51/C52,3)</f>
        <v>0.90500000000000003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2451</v>
      </c>
      <c r="B1" s="1583"/>
      <c r="C1" s="1584"/>
      <c r="D1" s="1582"/>
      <c r="E1" s="319"/>
      <c r="F1" s="319"/>
      <c r="G1" s="1583"/>
      <c r="H1" s="319"/>
      <c r="I1" s="319"/>
      <c r="J1" s="319"/>
      <c r="K1" s="319">
        <f>MATCH(C1,'数据-取费表'!A6:A16,0)+5</f>
        <v>7</v>
      </c>
    </row>
    <row r="2" spans="1:33" ht="18" customHeight="1">
      <c r="A2" s="244" t="s">
        <v>2319</v>
      </c>
      <c r="B2" s="247">
        <f ca="1">C32</f>
        <v>0</v>
      </c>
      <c r="C2" s="319" t="s">
        <v>2452</v>
      </c>
      <c r="D2" s="319"/>
      <c r="E2" s="319"/>
      <c r="F2" s="319"/>
      <c r="G2" s="319"/>
      <c r="H2" s="319"/>
      <c r="I2" s="319"/>
      <c r="J2" s="319"/>
      <c r="K2" s="319"/>
    </row>
    <row r="3" spans="1:33" ht="18" customHeight="1" thickBot="1">
      <c r="A3" s="246" t="s">
        <v>2321</v>
      </c>
      <c r="B3" s="247">
        <f ca="1">ROUND(B2*10000/IF(C1="",'数据-汇总表'!E3,INDIRECT("'数据-取费表'!K"&amp;$K$1)),0)</f>
        <v>0</v>
      </c>
      <c r="C3" s="319" t="s">
        <v>2453</v>
      </c>
      <c r="D3" s="319"/>
      <c r="E3" s="319"/>
      <c r="F3" s="319"/>
      <c r="G3" s="319"/>
      <c r="H3" s="319"/>
      <c r="I3" s="319"/>
      <c r="J3" s="319"/>
      <c r="K3" s="319"/>
    </row>
    <row r="4" spans="1:33" s="958" customFormat="1" ht="16.5" customHeight="1">
      <c r="A4" s="955" t="s">
        <v>2454</v>
      </c>
      <c r="B4" s="956"/>
      <c r="C4" s="998">
        <f>SUM(C8:K8)</f>
        <v>0</v>
      </c>
      <c r="D4" s="956"/>
      <c r="E4" s="956"/>
      <c r="F4" s="956"/>
      <c r="G4" s="956"/>
      <c r="H4" s="956"/>
      <c r="I4" s="956"/>
      <c r="J4" s="956"/>
      <c r="K4" s="957"/>
    </row>
    <row r="5" spans="1:33" s="962" customFormat="1" ht="24.75">
      <c r="A5" s="959" t="s">
        <v>2455</v>
      </c>
      <c r="B5" s="960" t="s">
        <v>2456</v>
      </c>
      <c r="C5" s="2555" t="s">
        <v>2457</v>
      </c>
      <c r="D5" s="2555" t="s">
        <v>2458</v>
      </c>
      <c r="E5" s="2555" t="s">
        <v>2459</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2460</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2463</v>
      </c>
      <c r="B8" s="176" t="s">
        <v>2464</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2465</v>
      </c>
      <c r="B9" s="956"/>
      <c r="C9" s="956"/>
      <c r="D9" s="956"/>
      <c r="E9" s="956"/>
      <c r="F9" s="956"/>
      <c r="G9" s="956"/>
      <c r="H9" s="956"/>
      <c r="I9" s="956"/>
      <c r="J9" s="956"/>
      <c r="K9" s="957"/>
    </row>
    <row r="10" spans="1:33" s="972" customFormat="1" ht="13.5" customHeight="1">
      <c r="A10" s="959" t="s">
        <v>2466</v>
      </c>
      <c r="B10" s="8" t="s">
        <v>2467</v>
      </c>
      <c r="C10" s="968" t="s">
        <v>2468</v>
      </c>
      <c r="D10" s="969" t="s">
        <v>2469</v>
      </c>
      <c r="E10" s="969" t="s">
        <v>2470</v>
      </c>
      <c r="F10" s="969" t="s">
        <v>2471</v>
      </c>
      <c r="G10" s="8"/>
      <c r="H10" s="970"/>
      <c r="I10" s="970"/>
      <c r="J10" s="970"/>
      <c r="K10" s="971"/>
    </row>
    <row r="11" spans="1:33" s="977" customFormat="1" ht="13.5" customHeight="1">
      <c r="A11" s="973" t="s">
        <v>1330</v>
      </c>
      <c r="B11" s="974" t="s">
        <v>2472</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1331</v>
      </c>
      <c r="B12" s="974" t="s">
        <v>2473</v>
      </c>
      <c r="C12" s="24">
        <f ca="1">ROUND(C11*F12,0)</f>
        <v>0</v>
      </c>
      <c r="D12" s="975"/>
      <c r="E12" s="374"/>
      <c r="F12" s="978">
        <f>'数据-取费表'!B33</f>
        <v>0.03</v>
      </c>
      <c r="G12" s="8" t="s">
        <v>2474</v>
      </c>
      <c r="H12" s="970"/>
      <c r="I12" s="970"/>
      <c r="J12" s="970"/>
      <c r="K12" s="971"/>
    </row>
    <row r="13" spans="1:33" s="977" customFormat="1" ht="13.5" customHeight="1">
      <c r="A13" s="973" t="s">
        <v>1332</v>
      </c>
      <c r="B13" s="974" t="s">
        <v>2475</v>
      </c>
      <c r="C13" s="24">
        <f ca="1">ROUND(IF(C1="",SUMIF('数据-取费表'!C:C,"住宅",'数据-取费表'!P:P)*F13,IF(INDIRECT("'数据-取费表'!c"&amp;$K$1)="住宅",INDIRECT("'数据-取费表'!P"&amp;$K$1)*F13,0)),0)</f>
        <v>0</v>
      </c>
      <c r="D13" s="1035"/>
      <c r="E13" s="374"/>
      <c r="F13" s="978">
        <f>'数据-取费表'!B34</f>
        <v>0.02</v>
      </c>
      <c r="G13" s="8" t="s">
        <v>2476</v>
      </c>
      <c r="H13" s="970"/>
      <c r="I13" s="970"/>
      <c r="J13" s="970"/>
      <c r="K13" s="971"/>
    </row>
    <row r="14" spans="1:33" s="979" customFormat="1" ht="13.5" customHeight="1">
      <c r="A14" s="973" t="s">
        <v>1333</v>
      </c>
      <c r="B14" s="974" t="s">
        <v>2477</v>
      </c>
      <c r="C14" s="24">
        <f ca="1">ROUND(D14*E14*F11/10000,0)</f>
        <v>0</v>
      </c>
      <c r="D14" s="1035">
        <f ca="1">IF(C1="",'数据-汇总表'!E3,INDIRECT("'数据-取费表'!K"&amp;$K$1)+INDIRECT("'数据-取费表'!S"&amp;$K$1))</f>
        <v>17987.810000000001</v>
      </c>
      <c r="E14" s="24">
        <f>'数据-取费表'!B35</f>
        <v>200</v>
      </c>
      <c r="F14" s="978"/>
      <c r="G14" s="8" t="s">
        <v>2478</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2479</v>
      </c>
      <c r="C15" s="985">
        <f ca="1">ROUND(C11*F15,0)</f>
        <v>0</v>
      </c>
      <c r="D15" s="980"/>
      <c r="E15" s="985"/>
      <c r="F15" s="986">
        <f>'数据-取费表'!B36</f>
        <v>1.4999999999999999E-2</v>
      </c>
      <c r="G15" s="139" t="s">
        <v>2480</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2481</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2482</v>
      </c>
      <c r="C17" s="24">
        <f ca="1">ROUND(D17*E17/10000,0)</f>
        <v>0</v>
      </c>
      <c r="D17" s="1035">
        <f ca="1">D14</f>
        <v>17987.810000000001</v>
      </c>
      <c r="E17" s="24">
        <f>'数据-取费表'!B32</f>
        <v>0</v>
      </c>
      <c r="F17" s="980"/>
      <c r="G17" s="139" t="s">
        <v>2483</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2484</v>
      </c>
      <c r="C18" s="24">
        <f ca="1">C19+C20-IF(C1="",'数据-取费表'!B29,IF(G18="已全部缴纳",C19+C20,H18))</f>
        <v>0</v>
      </c>
      <c r="D18" s="1035"/>
      <c r="E18" s="24"/>
      <c r="F18" s="978"/>
      <c r="G18" s="2557"/>
      <c r="H18" s="1579"/>
      <c r="I18" s="2558" t="s">
        <v>2485</v>
      </c>
      <c r="J18" s="981"/>
      <c r="K18" s="982"/>
    </row>
    <row r="19" spans="1:33" s="977" customFormat="1" ht="13.5" customHeight="1">
      <c r="A19" s="973" t="s">
        <v>805</v>
      </c>
      <c r="B19" s="974" t="s">
        <v>2486</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2487</v>
      </c>
      <c r="C20" s="24">
        <f ca="1">ROUND(D20*E20/10000,0)</f>
        <v>0</v>
      </c>
      <c r="D20" s="1035">
        <f ca="1">IF(C1="",'数据-汇总表'!E6,IF(INDIRECT("'数据-取费表'!c"&amp;$K$1)="住宅",INDIRECT("'数据-取费表'!s"&amp;$K$1),INDIRECT("'数据-取费表'!k"&amp;$K$1)+INDIRECT("'数据-取费表'!s"&amp;$K$1)))</f>
        <v>17987.810000000001</v>
      </c>
      <c r="E20" s="24">
        <f>'数据-取费表'!B28</f>
        <v>0</v>
      </c>
      <c r="F20" s="978"/>
      <c r="G20" s="15"/>
      <c r="H20" s="983"/>
      <c r="I20" s="983"/>
      <c r="J20" s="983"/>
      <c r="K20" s="984"/>
    </row>
    <row r="21" spans="1:33" s="977" customFormat="1" ht="13.5" customHeight="1">
      <c r="A21" s="963" t="s">
        <v>802</v>
      </c>
      <c r="B21" s="987" t="s">
        <v>2488</v>
      </c>
      <c r="C21" s="988">
        <f ca="1">C16+C17+C18</f>
        <v>0</v>
      </c>
      <c r="D21" s="989"/>
      <c r="E21" s="324"/>
      <c r="F21" s="324"/>
      <c r="G21" s="139" t="s">
        <v>2489</v>
      </c>
      <c r="H21" s="981"/>
      <c r="I21" s="981"/>
      <c r="J21" s="981"/>
      <c r="K21" s="982"/>
    </row>
    <row r="22" spans="1:33" s="977" customFormat="1" ht="13.5" customHeight="1">
      <c r="A22" s="963" t="s">
        <v>2461</v>
      </c>
      <c r="B22" s="987" t="s">
        <v>2490</v>
      </c>
      <c r="C22" s="988">
        <f ca="1">ROUND(C21*F22,0)</f>
        <v>0</v>
      </c>
      <c r="D22" s="324"/>
      <c r="E22" s="324"/>
      <c r="F22" s="990">
        <f>'数据-取费表'!B37</f>
        <v>0.02</v>
      </c>
      <c r="G22" s="8" t="s">
        <v>2491</v>
      </c>
      <c r="H22" s="970"/>
      <c r="I22" s="970"/>
      <c r="J22" s="970"/>
      <c r="K22" s="971"/>
    </row>
    <row r="23" spans="1:33" s="977" customFormat="1" ht="13.5" customHeight="1">
      <c r="A23" s="963" t="s">
        <v>2463</v>
      </c>
      <c r="B23" s="987" t="s">
        <v>2492</v>
      </c>
      <c r="C23" s="988">
        <f ca="1">ROUND(C4*F23*F11,0)</f>
        <v>0</v>
      </c>
      <c r="D23" s="324"/>
      <c r="E23" s="324"/>
      <c r="F23" s="990">
        <f>'数据-取费表'!B38</f>
        <v>0.02</v>
      </c>
      <c r="G23" s="8" t="s">
        <v>2493</v>
      </c>
      <c r="H23" s="970"/>
      <c r="I23" s="970"/>
      <c r="J23" s="970"/>
      <c r="K23" s="971"/>
    </row>
    <row r="24" spans="1:33" s="977" customFormat="1" ht="13.5" customHeight="1">
      <c r="A24" s="963" t="s">
        <v>2494</v>
      </c>
      <c r="B24" s="987" t="s">
        <v>2495</v>
      </c>
      <c r="C24" s="323">
        <f>ROUND(F24/(1+'数据-取费表'!C42),4)</f>
        <v>2.9000000000000001E-2</v>
      </c>
      <c r="D24" s="324" t="s">
        <v>15</v>
      </c>
      <c r="E24" s="324"/>
      <c r="F24" s="990">
        <f>'数据-取费表'!B48+'数据-取费表'!B49</f>
        <v>3.0499999999999999E-2</v>
      </c>
      <c r="G24" s="8" t="s">
        <v>2496</v>
      </c>
      <c r="H24" s="992"/>
      <c r="I24" s="992"/>
      <c r="J24" s="992"/>
      <c r="K24" s="993"/>
    </row>
    <row r="25" spans="1:33" s="977" customFormat="1" ht="13.5" customHeight="1">
      <c r="A25" s="963" t="s">
        <v>2497</v>
      </c>
      <c r="B25" s="989" t="s">
        <v>2498</v>
      </c>
      <c r="C25" s="1358">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2499</v>
      </c>
      <c r="C26" s="1359">
        <f ca="1">ROUND(IF('数据-取费表'!B22&lt;=1,(1+C24)*F25*'数据-取费表'!B24,(1+C24)*(POWER((1+F25),'数据-取费表'!B24)-1)),4)</f>
        <v>0</v>
      </c>
      <c r="D26" s="327"/>
      <c r="E26" s="328"/>
      <c r="F26" s="329"/>
      <c r="G26" s="2559"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2500</v>
      </c>
      <c r="C27" s="1360">
        <f ca="1">ROUND(IF('数据-取费表'!B22&lt;=1,(C21+C22+C23)*F25*'数据-取费表'!B24/2,(C21+C22+C23)*(POWER((1+F25),'数据-取费表'!B24/2)-1)),0)</f>
        <v>0</v>
      </c>
      <c r="D27" s="327"/>
      <c r="E27" s="328"/>
      <c r="F27" s="329"/>
      <c r="G27" s="2559" t="str">
        <f>IF('数据-取费表'!B22&lt;=1,"（1）-（3）项×年利率×建设期÷2","（1）-（3）项×((1+年利率)^(建设期÷2)-1)")</f>
        <v>（1）-（3）项×年利率×建设期÷2</v>
      </c>
      <c r="H27" s="981"/>
      <c r="I27" s="981"/>
      <c r="J27" s="981"/>
      <c r="K27" s="982"/>
    </row>
    <row r="28" spans="1:33" s="332" customFormat="1" ht="13.5" customHeight="1">
      <c r="A28" s="963" t="s">
        <v>2501</v>
      </c>
      <c r="B28" s="2560" t="s">
        <v>2502</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2503</v>
      </c>
      <c r="C29" s="327">
        <f ca="1">ROUND((1+C24)*F28*'数据-取费表'!B24/'数据-取费表'!B20,4)</f>
        <v>0</v>
      </c>
      <c r="D29" s="327"/>
      <c r="E29" s="328"/>
      <c r="F29" s="333"/>
      <c r="G29" s="139" t="s">
        <v>2504</v>
      </c>
      <c r="H29" s="981"/>
      <c r="I29" s="981"/>
      <c r="J29" s="981"/>
      <c r="K29" s="982"/>
    </row>
    <row r="30" spans="1:33" s="334" customFormat="1" ht="13.5" customHeight="1">
      <c r="A30" s="973" t="s">
        <v>804</v>
      </c>
      <c r="B30" s="996" t="s">
        <v>2505</v>
      </c>
      <c r="C30" s="335">
        <f ca="1">ROUND((C21+C22+C23)*F28,0)</f>
        <v>0</v>
      </c>
      <c r="D30" s="327"/>
      <c r="E30" s="328"/>
      <c r="F30" s="333"/>
      <c r="G30" s="139"/>
      <c r="H30" s="981"/>
      <c r="I30" s="981"/>
      <c r="J30" s="981"/>
      <c r="K30" s="982"/>
    </row>
    <row r="31" spans="1:33" s="977" customFormat="1" ht="13.5" customHeight="1" thickBot="1">
      <c r="A31" s="2561" t="s">
        <v>2506</v>
      </c>
      <c r="B31" s="1007" t="s">
        <v>2507</v>
      </c>
      <c r="C31" s="1008">
        <f>ROUND(C4*F31/(1+'数据-取费表'!C42),0)</f>
        <v>0</v>
      </c>
      <c r="D31" s="1009"/>
      <c r="E31" s="1010"/>
      <c r="F31" s="1011">
        <f>'数据-取费表'!B41</f>
        <v>5.5000000000000007E-2</v>
      </c>
      <c r="G31" s="1012" t="s">
        <v>2508</v>
      </c>
      <c r="H31" s="1013"/>
      <c r="I31" s="1013"/>
      <c r="J31" s="1013"/>
      <c r="K31" s="1014"/>
    </row>
    <row r="32" spans="1:33" s="972" customFormat="1" ht="13.5" customHeight="1" thickBot="1">
      <c r="A32" s="1002" t="s">
        <v>2509</v>
      </c>
      <c r="B32" s="1003"/>
      <c r="C32" s="1004">
        <f ca="1">ROUND((C4-C21-C22-C23-C25-C28-C31)/(1+C24+D25+D28),0)</f>
        <v>0</v>
      </c>
      <c r="D32" s="1003"/>
      <c r="E32" s="1003"/>
      <c r="F32" s="1003"/>
      <c r="G32" s="1005" t="s">
        <v>2510</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22" sqref="I2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3069</v>
      </c>
      <c r="D1" s="1822" t="s">
        <v>70</v>
      </c>
      <c r="E1" s="1823" t="s">
        <v>1383</v>
      </c>
      <c r="F1" s="1285">
        <f ca="1">J53</f>
        <v>47.47</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5431</v>
      </c>
      <c r="C2" s="1847" t="s">
        <v>1512</v>
      </c>
      <c r="D2" s="1847"/>
      <c r="E2" s="1848"/>
      <c r="F2" s="1849"/>
      <c r="G2" s="1850"/>
      <c r="H2" s="1842"/>
      <c r="I2" s="1842"/>
      <c r="J2" s="1842"/>
      <c r="K2" s="1843"/>
      <c r="L2" s="1842"/>
      <c r="M2" s="1842"/>
    </row>
    <row r="3" spans="1:37" ht="18" customHeight="1" thickBot="1">
      <c r="A3" s="1851" t="s">
        <v>1513</v>
      </c>
      <c r="B3" s="1852">
        <f ca="1">IF(ISERROR(B2*10000/F43),0,ROUND(B2*10000/F43,0))</f>
        <v>3019</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355</v>
      </c>
      <c r="D5" s="1824" t="s">
        <v>1398</v>
      </c>
      <c r="E5" s="1295"/>
      <c r="F5" s="1296"/>
      <c r="G5" s="1853"/>
      <c r="H5" s="343">
        <v>1</v>
      </c>
      <c r="I5" s="344" t="s">
        <v>1397</v>
      </c>
      <c r="J5" s="1294">
        <f ca="1">J6+J10+J12</f>
        <v>0</v>
      </c>
      <c r="K5" s="1824" t="s">
        <v>1398</v>
      </c>
      <c r="L5" s="1295"/>
      <c r="M5" s="1296"/>
    </row>
    <row r="6" spans="1:37" ht="18" customHeight="1">
      <c r="A6" s="1293" t="s">
        <v>1032</v>
      </c>
      <c r="B6" s="3206" t="s">
        <v>1399</v>
      </c>
      <c r="C6" s="1298">
        <f ca="1">ROUND(F6*F8*F7*(1-F9)/10000,0)</f>
        <v>355</v>
      </c>
      <c r="D6" s="163" t="s">
        <v>3025</v>
      </c>
      <c r="E6" s="346" t="s">
        <v>1401</v>
      </c>
      <c r="F6" s="347">
        <f ca="1">INDIRECT("'数据-取费表'!u"&amp;$G$1)</f>
        <v>0.6</v>
      </c>
      <c r="G6" s="1853"/>
      <c r="H6" s="1293" t="s">
        <v>1032</v>
      </c>
      <c r="I6" s="3206" t="s">
        <v>1399</v>
      </c>
      <c r="J6" s="345">
        <f ca="1">ROUND(M6*M8*M7*(1-M9)/10000,0)</f>
        <v>0</v>
      </c>
      <c r="K6" s="163" t="s">
        <v>3024</v>
      </c>
      <c r="L6" s="346" t="s">
        <v>1401</v>
      </c>
      <c r="M6" s="347">
        <f ca="1">INDIRECT("'数据-取费表'!z"&amp;$G$1)</f>
        <v>0</v>
      </c>
    </row>
    <row r="7" spans="1:37" ht="18" customHeight="1">
      <c r="A7" s="1297"/>
      <c r="B7" s="3207"/>
      <c r="C7" s="1299"/>
      <c r="D7" s="351"/>
      <c r="E7" s="1300" t="s">
        <v>1402</v>
      </c>
      <c r="F7" s="347">
        <f ca="1">IF(INDIRECT("'数据-取费表'!ah"&amp;$G$1)="",INDIRECT("'数据-取费表'!k"&amp;$G$1),INDIRECT("'数据-取费表'!ah"&amp;$G$1))</f>
        <v>17987.810000000001</v>
      </c>
      <c r="G7" s="1853"/>
      <c r="H7" s="348"/>
      <c r="I7" s="3207"/>
      <c r="J7" s="350"/>
      <c r="K7" s="351"/>
      <c r="L7" s="346" t="s">
        <v>1402</v>
      </c>
      <c r="M7" s="347">
        <f ca="1">F7</f>
        <v>17987.810000000001</v>
      </c>
    </row>
    <row r="8" spans="1:37" ht="18" customHeight="1">
      <c r="A8" s="348"/>
      <c r="B8" s="3207"/>
      <c r="C8" s="350"/>
      <c r="D8" s="351"/>
      <c r="E8" s="346" t="s">
        <v>1403</v>
      </c>
      <c r="F8" s="347">
        <f ca="1">INDIRECT("'数据-取费表'!ai"&amp;$G$1)</f>
        <v>365</v>
      </c>
      <c r="G8" s="1853"/>
      <c r="H8" s="348"/>
      <c r="I8" s="3207"/>
      <c r="J8" s="350"/>
      <c r="K8" s="351"/>
      <c r="L8" s="346" t="s">
        <v>1403</v>
      </c>
      <c r="M8" s="347">
        <f ca="1">INDIRECT("'数据-取费表'!ai"&amp;$G$1)</f>
        <v>365</v>
      </c>
    </row>
    <row r="9" spans="1:37" ht="18" customHeight="1">
      <c r="A9" s="348"/>
      <c r="B9" s="3208"/>
      <c r="C9" s="350"/>
      <c r="D9" s="351"/>
      <c r="E9" s="346" t="s">
        <v>1404</v>
      </c>
      <c r="F9" s="356">
        <f ca="1">INDIRECT("'数据-取费表'!w"&amp;$G$1)</f>
        <v>0.1</v>
      </c>
      <c r="G9" s="1853"/>
      <c r="H9" s="348"/>
      <c r="I9" s="3208"/>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3034</v>
      </c>
      <c r="E10" s="357" t="s">
        <v>1406</v>
      </c>
      <c r="F10" s="1368" t="s">
        <v>3320</v>
      </c>
      <c r="G10" s="1853"/>
      <c r="H10" s="1293" t="s">
        <v>1036</v>
      </c>
      <c r="I10" s="1825" t="s">
        <v>1405</v>
      </c>
      <c r="J10" s="345">
        <f ca="1">ROUND(IF(M10="押一",J6/12*M11,IF(M10="押二",J6/12*2*M11,IF(M10="押三",J6/12*3*M11,J11*M11))),0)</f>
        <v>0</v>
      </c>
      <c r="K10" s="1826" t="s">
        <v>3033</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3892</v>
      </c>
      <c r="D13" s="1333" t="s">
        <v>1411</v>
      </c>
      <c r="E13" s="1333" t="s">
        <v>1412</v>
      </c>
      <c r="F13" s="1334">
        <f ca="1">INDIRECT("'数据-取费表'!y"&amp;$G$1)</f>
        <v>0.99</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2698</v>
      </c>
      <c r="D14" s="1802" t="s">
        <v>1414</v>
      </c>
      <c r="E14" s="1796"/>
      <c r="F14" s="363"/>
      <c r="G14" s="1853"/>
      <c r="H14" s="1203" t="s">
        <v>1032</v>
      </c>
      <c r="I14" s="346" t="s">
        <v>1415</v>
      </c>
      <c r="J14" s="24">
        <f ca="1">C29</f>
        <v>3931</v>
      </c>
      <c r="K14" s="15"/>
      <c r="L14" s="981"/>
      <c r="M14" s="982"/>
    </row>
    <row r="15" spans="1:37" s="1860" customFormat="1" ht="18" customHeight="1" thickBot="1">
      <c r="A15" s="1203" t="s">
        <v>1033</v>
      </c>
      <c r="B15" s="346" t="s">
        <v>1416</v>
      </c>
      <c r="C15" s="24">
        <f ca="1">ROUND(C14*F15,0)</f>
        <v>81</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3"/>
      <c r="H16" s="1331" t="s">
        <v>1027</v>
      </c>
      <c r="I16" s="1332" t="s">
        <v>1420</v>
      </c>
      <c r="J16" s="354">
        <f ca="1">ROUND(J17+J22+J23+J24,0)</f>
        <v>100</v>
      </c>
      <c r="K16" s="1339" t="s">
        <v>1421</v>
      </c>
      <c r="L16" s="1340"/>
      <c r="M16" s="1296"/>
    </row>
    <row r="17" spans="1:37" s="1860" customFormat="1" ht="18" customHeight="1">
      <c r="A17" s="1203" t="s">
        <v>1386</v>
      </c>
      <c r="B17" s="346" t="s">
        <v>1422</v>
      </c>
      <c r="C17" s="24">
        <f ca="1">ROUND(F17*(F43+INDIRECT("'数据-取费表'!S"&amp;$G$1))/10000,0)</f>
        <v>360</v>
      </c>
      <c r="D17" s="346" t="s">
        <v>1423</v>
      </c>
      <c r="E17" s="346" t="s">
        <v>1424</v>
      </c>
      <c r="F17" s="26">
        <f>'数据-取费表'!B35</f>
        <v>200</v>
      </c>
      <c r="G17" s="1856"/>
      <c r="H17" s="1203" t="s">
        <v>1032</v>
      </c>
      <c r="I17" s="346" t="s">
        <v>1425</v>
      </c>
      <c r="J17" s="24">
        <f ca="1">ROUND(IF(项目基本情况!B11="自然人",J5*M17,J18+J19+J20),1)</f>
        <v>40.700000000000003</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4">
        <f ca="1">ROUND(C14*F18,0)</f>
        <v>40</v>
      </c>
      <c r="D18" s="346" t="s">
        <v>1417</v>
      </c>
      <c r="E18" s="346" t="s">
        <v>1418</v>
      </c>
      <c r="F18" s="366">
        <f>'数据-取费表'!B36</f>
        <v>1.4999999999999999E-2</v>
      </c>
      <c r="G18" s="1856"/>
      <c r="H18" s="1203" t="s">
        <v>1031</v>
      </c>
      <c r="I18" s="346" t="s">
        <v>1429</v>
      </c>
      <c r="J18" s="24">
        <f ca="1">ROUND(J5*M18/(1+'数据-取费表'!C42),2)</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4">
        <f ca="1">SUM(C14:C18)</f>
        <v>3179</v>
      </c>
      <c r="D19" s="139" t="s">
        <v>1432</v>
      </c>
      <c r="E19" s="1820"/>
      <c r="F19" s="26"/>
      <c r="G19" s="1853"/>
      <c r="H19" s="1203" t="s">
        <v>1033</v>
      </c>
      <c r="I19" s="346" t="s">
        <v>1433</v>
      </c>
      <c r="J19" s="24">
        <f ca="1">IF(K19="按租金收入计税",ROUND(J5*M19,2),ROUND(C29*M19*0.7,2))</f>
        <v>33.020000000000003</v>
      </c>
      <c r="K19" s="1830" t="s">
        <v>1434</v>
      </c>
      <c r="L19" s="346" t="s">
        <v>1418</v>
      </c>
      <c r="M19" s="366">
        <f>IF(K19="按租金收入计税",'数据-取费表'!B51,'数据-取费表'!B50)</f>
        <v>1.2E-2</v>
      </c>
    </row>
    <row r="20" spans="1:37" s="1860" customFormat="1" ht="18" customHeight="1">
      <c r="A20" s="1203" t="s">
        <v>1036</v>
      </c>
      <c r="B20" s="346" t="s">
        <v>1435</v>
      </c>
      <c r="C20" s="24">
        <f ca="1">ROUND(C19*F20,0)</f>
        <v>64</v>
      </c>
      <c r="D20" s="368" t="s">
        <v>1436</v>
      </c>
      <c r="E20" s="346" t="s">
        <v>1418</v>
      </c>
      <c r="F20" s="366">
        <f>'数据-取费表'!B37</f>
        <v>0.02</v>
      </c>
      <c r="G20" s="1856"/>
      <c r="H20" s="1203" t="s">
        <v>1385</v>
      </c>
      <c r="I20" s="163" t="s">
        <v>1437</v>
      </c>
      <c r="J20" s="25">
        <f ca="1">ROUND(M20*M21/10000,2)</f>
        <v>7.71</v>
      </c>
      <c r="K20" s="369" t="s">
        <v>1438</v>
      </c>
      <c r="L20" s="346" t="s">
        <v>1439</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4" t="s">
        <v>18</v>
      </c>
      <c r="D21" s="368" t="s">
        <v>1441</v>
      </c>
      <c r="E21" s="346" t="s">
        <v>1442</v>
      </c>
      <c r="F21" s="366">
        <f>'数据-取费表'!B38</f>
        <v>0.02</v>
      </c>
      <c r="G21" s="1856"/>
      <c r="H21" s="371"/>
      <c r="I21" s="355"/>
      <c r="J21" s="29"/>
      <c r="K21" s="372"/>
      <c r="L21" s="346" t="s">
        <v>1443</v>
      </c>
      <c r="M21" s="347">
        <f ca="1">INDIRECT("'数据-取费表'!r"&amp;$G$1)</f>
        <v>25697.15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4"/>
      <c r="D22" s="139" t="str">
        <f>IF(F23&lt;=1,"单利计息。","复利计息。")&amp;"建造成本、管理费用、销售费用产生的利息。"</f>
        <v>单利计息。建造成本、管理费用、销售费用产生的利息。</v>
      </c>
      <c r="E22" s="1820"/>
      <c r="F22" s="26"/>
      <c r="G22" s="1853"/>
      <c r="H22" s="1203" t="s">
        <v>1036</v>
      </c>
      <c r="I22" s="346" t="s">
        <v>1445</v>
      </c>
      <c r="J22" s="24">
        <f ca="1">ROUND(J14*M22,1)</f>
        <v>59</v>
      </c>
      <c r="K22" s="1800" t="s">
        <v>1446</v>
      </c>
      <c r="L22" s="346" t="s">
        <v>1418</v>
      </c>
      <c r="M22" s="373">
        <f ca="1">INDIRECT("'数据-取费表'!Ak"&amp;$G$1)</f>
        <v>1.4999999999999999E-2</v>
      </c>
    </row>
    <row r="23" spans="1:37" s="1860" customFormat="1" ht="18" customHeight="1">
      <c r="A23" s="1203" t="s">
        <v>1031</v>
      </c>
      <c r="B23" s="346" t="s">
        <v>1447</v>
      </c>
      <c r="C23" s="24">
        <f ca="1">IF('数据-取费表'!B22&lt;=1,ROUND(C19*F24*F23/2,0)+ROUND(C20*F24*F23/2,0),ROUND(C19*(POWER((1+F24),F23/2)-1),0)+ROUND(C20*(POWER((1+F24),F23/2)-1),0))</f>
        <v>70</v>
      </c>
      <c r="D23" s="374" t="str">
        <f>IF(F23&lt;=1,"(建造成本+管理费用)×利率×(建设周期÷2)","(建造成本+管理费用)×((1+利率)^(建设周期÷2)-1)")</f>
        <v>(建造成本+管理费用)×利率×(建设周期÷2)</v>
      </c>
      <c r="E23" s="346" t="s">
        <v>1448</v>
      </c>
      <c r="F23" s="370">
        <f>'数据-取费表'!B20</f>
        <v>1</v>
      </c>
      <c r="G23" s="1856"/>
      <c r="H23" s="1203" t="s">
        <v>1072</v>
      </c>
      <c r="I23" s="346" t="s">
        <v>1449</v>
      </c>
      <c r="J23" s="24">
        <f ca="1">ROUND(J13*M23,1)</f>
        <v>0</v>
      </c>
      <c r="K23" s="1800" t="s">
        <v>1450</v>
      </c>
      <c r="L23" s="346" t="s">
        <v>1451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4">
        <f ca="1">ROUND(IF('数据-取费表'!B22&lt;=1,F21*F24*F23/2,F21*(POWER((1+F24),F23/2)-1)),4)</f>
        <v>4.0000000000000002E-4</v>
      </c>
      <c r="D24" s="374" t="str">
        <f>IF(F23&lt;=1,"销售费用×利率×(建设周期÷2)","销售费用×((1+利率)^(建设周期÷2)-1)")</f>
        <v>销售费用×利率×(建设周期÷2)</v>
      </c>
      <c r="E24" s="346" t="s">
        <v>1454</v>
      </c>
      <c r="F24" s="376">
        <f ca="1">'数据-取费表'!B40</f>
        <v>4.3499999999999997E-2</v>
      </c>
      <c r="G24" s="1856"/>
      <c r="H24" s="1341" t="s">
        <v>1389</v>
      </c>
      <c r="I24" s="1342" t="s">
        <v>1435</v>
      </c>
      <c r="J24" s="1343">
        <f ca="1">ROUND(J5*M24,1)</f>
        <v>0</v>
      </c>
      <c r="K24" s="1344" t="s">
        <v>1455</v>
      </c>
      <c r="L24" s="1342" t="s">
        <v>1451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4"/>
      <c r="D25" s="139" t="s">
        <v>1458</v>
      </c>
      <c r="E25" s="1820"/>
      <c r="F25" s="26"/>
      <c r="G25" s="1853"/>
      <c r="H25" s="1331" t="s">
        <v>1028</v>
      </c>
      <c r="I25" s="1346" t="s">
        <v>1459</v>
      </c>
      <c r="J25" s="354">
        <f ca="1">J5-J16</f>
        <v>-100</v>
      </c>
      <c r="K25" s="1347" t="s">
        <v>1460</v>
      </c>
      <c r="L25" s="1348"/>
      <c r="M25" s="1349"/>
    </row>
    <row r="26" spans="1:37">
      <c r="A26" s="1203" t="s">
        <v>1031</v>
      </c>
      <c r="B26" s="346" t="s">
        <v>1461</v>
      </c>
      <c r="C26" s="24">
        <f ca="1">ROUND((C19+C20)*F26,0)</f>
        <v>324</v>
      </c>
      <c r="D26" s="368" t="s">
        <v>1462</v>
      </c>
      <c r="E26" s="357" t="s">
        <v>1463</v>
      </c>
      <c r="F26" s="356">
        <f ca="1">INDIRECT("'数据-取费表'!q"&amp;$G$1)</f>
        <v>0.1</v>
      </c>
      <c r="G26" s="1853"/>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4">
        <f ca="1">ROUND(F21*F26,4)</f>
        <v>2E-3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4">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3931</v>
      </c>
      <c r="D29" s="1344"/>
      <c r="E29" s="1342"/>
      <c r="F29" s="1345"/>
      <c r="G29" s="1856"/>
      <c r="H29" s="379" t="s">
        <v>1030</v>
      </c>
      <c r="I29" s="380" t="s">
        <v>1475</v>
      </c>
      <c r="J29" s="381">
        <f ca="1">ROUND(J26/(1+F40)^F41,0)</f>
        <v>0</v>
      </c>
      <c r="K29" s="382" t="s">
        <v>1476</v>
      </c>
      <c r="L29" s="383"/>
      <c r="M29" s="384">
        <f ca="1">INDIRECT("'数据-取费表'!k"&amp;$G$1)</f>
        <v>17987.810000000001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137</v>
      </c>
      <c r="D30" s="1339" t="s">
        <v>1421</v>
      </c>
      <c r="E30" s="1340"/>
      <c r="F30" s="1296"/>
      <c r="G30" s="1853"/>
      <c r="H30" s="744"/>
      <c r="I30" s="745"/>
      <c r="J30" s="746"/>
      <c r="K30" s="747"/>
      <c r="L30" s="748"/>
      <c r="M30" s="749"/>
    </row>
    <row r="31" spans="1:37" ht="18" customHeight="1">
      <c r="A31" s="1203" t="s">
        <v>1032</v>
      </c>
      <c r="B31" s="346" t="s">
        <v>1425</v>
      </c>
      <c r="C31" s="24">
        <f ca="1">ROUND(IF(项目基本情况!B11="自然人",C5*F31,C32+C33+C34),1)</f>
        <v>68.900000000000006</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4">
        <f ca="1">IF(项目基本情况!B11="自然人","——",ROUND(C5*F32/(1+'数据-取费表'!C42),2))</f>
        <v>18.600000000000001</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42.6</v>
      </c>
      <c r="D33" s="1830" t="s">
        <v>3087</v>
      </c>
      <c r="E33" s="346" t="s">
        <v>1418</v>
      </c>
      <c r="F33" s="366">
        <f>IF(D33="按票据","——",IF(D33="按租金收入计税",'数据-取费表'!B51,'数据-取费表'!B50))</f>
        <v>0.12</v>
      </c>
      <c r="G33" s="1853"/>
      <c r="H33" s="1861"/>
      <c r="I33" s="1862"/>
      <c r="J33" s="1863"/>
      <c r="K33" s="1864"/>
      <c r="L33" s="1861"/>
      <c r="M33" s="1861"/>
    </row>
    <row r="34" spans="1:18" ht="18" customHeight="1">
      <c r="A34" s="1293" t="s">
        <v>1385</v>
      </c>
      <c r="B34" s="163" t="s">
        <v>1437</v>
      </c>
      <c r="C34" s="25">
        <f ca="1">IF(项目基本情况!B11="自然人","——",ROUND(F34*F35/10000,2))</f>
        <v>7.71</v>
      </c>
      <c r="D34" s="369" t="s">
        <v>1438</v>
      </c>
      <c r="E34" s="346" t="s">
        <v>1439</v>
      </c>
      <c r="F34" s="370">
        <f>'数据-取费表'!B52</f>
        <v>3</v>
      </c>
      <c r="G34" s="1853"/>
      <c r="H34" s="744"/>
      <c r="I34" s="1862"/>
      <c r="J34" s="1863"/>
      <c r="K34" s="1865"/>
      <c r="L34" s="1866"/>
      <c r="M34" s="1866"/>
    </row>
    <row r="35" spans="1:18" ht="18" customHeight="1">
      <c r="A35" s="1355"/>
      <c r="B35" s="1353"/>
      <c r="C35" s="29"/>
      <c r="D35" s="372"/>
      <c r="E35" s="346" t="s">
        <v>1443</v>
      </c>
      <c r="F35" s="347">
        <f ca="1">INDIRECT("'数据-取费表'!r"&amp;$G$1)</f>
        <v>25697.15</v>
      </c>
      <c r="G35" s="1853"/>
      <c r="H35" s="744"/>
      <c r="I35" s="1862"/>
      <c r="J35" s="1863"/>
      <c r="K35" s="1864"/>
      <c r="L35" s="1861"/>
      <c r="M35" s="1861"/>
    </row>
    <row r="36" spans="1:18" ht="18" customHeight="1">
      <c r="A36" s="1354" t="s">
        <v>1036</v>
      </c>
      <c r="B36" s="346" t="s">
        <v>1445</v>
      </c>
      <c r="C36" s="24">
        <f ca="1">ROUND(C29*F36,1)</f>
        <v>59</v>
      </c>
      <c r="D36" s="1800"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4">
        <f ca="1">ROUND(C13*F37,1)</f>
        <v>5.8</v>
      </c>
      <c r="D37" s="1800" t="s">
        <v>1450</v>
      </c>
      <c r="E37" s="346" t="s">
        <v>1451</v>
      </c>
      <c r="F37" s="375">
        <f ca="1">INDIRECT("'数据-取费表'!Al"&amp;$G$1)</f>
        <v>1.5E-3</v>
      </c>
      <c r="G37" s="1853"/>
      <c r="H37" s="1861"/>
      <c r="I37" s="1862"/>
      <c r="J37" s="1863"/>
      <c r="K37" s="750"/>
      <c r="L37" s="1861"/>
      <c r="M37" s="1861"/>
    </row>
    <row r="38" spans="1:18" ht="18" customHeight="1" thickBot="1">
      <c r="A38" s="1341" t="s">
        <v>1389</v>
      </c>
      <c r="B38" s="1342" t="s">
        <v>1435</v>
      </c>
      <c r="C38" s="1343">
        <f ca="1">ROUND(C5*F38,1)</f>
        <v>3.6</v>
      </c>
      <c r="D38" s="1344" t="s">
        <v>1455</v>
      </c>
      <c r="E38" s="1342" t="s">
        <v>1451</v>
      </c>
      <c r="F38" s="1338">
        <f ca="1">INDIRECT("'数据-取费表'!Am"&amp;$G$1)</f>
        <v>0.01</v>
      </c>
      <c r="G38" s="1853"/>
      <c r="H38" s="1861"/>
      <c r="I38" s="1862"/>
      <c r="J38" s="1863"/>
      <c r="K38" s="1867"/>
      <c r="L38" s="1861"/>
      <c r="M38" s="1861"/>
    </row>
    <row r="39" spans="1:18" ht="24.6" customHeight="1" thickTop="1">
      <c r="A39" s="1331" t="s">
        <v>1028</v>
      </c>
      <c r="B39" s="1346" t="s">
        <v>1479</v>
      </c>
      <c r="C39" s="354">
        <f ca="1">C5-C30</f>
        <v>218</v>
      </c>
      <c r="D39" s="1347" t="s">
        <v>1480</v>
      </c>
      <c r="E39" s="1348"/>
      <c r="F39" s="1349"/>
      <c r="G39" s="1853"/>
      <c r="H39" s="1861"/>
      <c r="I39" s="1862"/>
      <c r="J39" s="1863"/>
      <c r="K39" s="1867"/>
      <c r="L39" s="1861"/>
      <c r="M39" s="1861"/>
    </row>
    <row r="40" spans="1:18" ht="18" customHeight="1">
      <c r="A40" s="343" t="s">
        <v>1029</v>
      </c>
      <c r="B40" s="344" t="s">
        <v>1481</v>
      </c>
      <c r="C40" s="345">
        <f ca="1">ROUND(C39*(1-((1+F42)/(1+F40))^F41)/(F40-F42),0)</f>
        <v>5431</v>
      </c>
      <c r="D40" s="369" t="s">
        <v>1465</v>
      </c>
      <c r="E40" s="346" t="s">
        <v>1466</v>
      </c>
      <c r="F40" s="356">
        <f ca="1">INDIRECT("'数据-取费表'!I"&amp;$G$1)</f>
        <v>0.05</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47.47</v>
      </c>
      <c r="G41" s="1853"/>
      <c r="H41" s="731"/>
      <c r="I41" s="1862"/>
      <c r="J41" s="1863"/>
      <c r="K41" s="750"/>
      <c r="L41" s="731"/>
      <c r="M41" s="731"/>
    </row>
    <row r="42" spans="1:18" ht="18" customHeight="1">
      <c r="A42" s="352"/>
      <c r="B42" s="353"/>
      <c r="C42" s="354"/>
      <c r="D42" s="372"/>
      <c r="E42" s="346" t="s">
        <v>1473</v>
      </c>
      <c r="F42" s="356">
        <f ca="1">INDIRECT("'数据-取费表'!v"&amp;$G$1)</f>
        <v>0.02</v>
      </c>
      <c r="G42" s="1853"/>
      <c r="H42" s="731"/>
      <c r="I42" s="1862"/>
      <c r="J42" s="1863"/>
      <c r="K42" s="750"/>
      <c r="L42" s="731"/>
      <c r="M42" s="731"/>
    </row>
    <row r="43" spans="1:18" ht="18" customHeight="1" thickBot="1">
      <c r="A43" s="379" t="s">
        <v>1030</v>
      </c>
      <c r="B43" s="380" t="s">
        <v>1483</v>
      </c>
      <c r="C43" s="381">
        <f ca="1">ROUND(C40*10000/F43,0)</f>
        <v>3019</v>
      </c>
      <c r="D43" s="382" t="s">
        <v>1484</v>
      </c>
      <c r="E43" s="383" t="s">
        <v>1485</v>
      </c>
      <c r="F43" s="384">
        <f ca="1">INDIRECT("'数据-取费表'!k"&amp;$G$1)</f>
        <v>17987.810000000001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f ca="1">C68-C40</f>
        <v>-12696</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3088</v>
      </c>
      <c r="K47" s="1884" t="s">
        <v>1523</v>
      </c>
      <c r="L47" s="1885">
        <f ca="1">INDIRECT("'数据-取费表'!d"&amp;$G$1)</f>
        <v>50</v>
      </c>
      <c r="M47" s="1840" t="str">
        <f>IF(ISNUMBER(FIND("住宅",C1)),"住宅","非住宅")</f>
        <v>非住宅</v>
      </c>
      <c r="O47" s="1886" t="s">
        <v>1037</v>
      </c>
      <c r="P47" s="1887" t="s">
        <v>1524</v>
      </c>
      <c r="Q47" s="1888">
        <f ca="1">C40+J29</f>
        <v>5431</v>
      </c>
      <c r="R47" s="1888" t="s">
        <v>1525</v>
      </c>
    </row>
    <row r="48" spans="1:18" s="1844" customFormat="1" ht="28.5" thickBot="1">
      <c r="A48" s="1362" t="s">
        <v>1132</v>
      </c>
      <c r="B48" s="344" t="s">
        <v>1397</v>
      </c>
      <c r="C48" s="1819">
        <f ca="1">C49+C53+C55</f>
        <v>0</v>
      </c>
      <c r="D48" s="1364"/>
      <c r="E48" s="1365"/>
      <c r="F48" s="1183"/>
      <c r="G48" s="791"/>
      <c r="H48" s="792"/>
      <c r="I48" s="1889" t="s">
        <v>1526</v>
      </c>
      <c r="J48" s="1890" t="s">
        <v>3089</v>
      </c>
      <c r="K48" s="1891" t="s">
        <v>1527</v>
      </c>
      <c r="L48" s="1892">
        <f ca="1">INDIRECT("'数据-取费表'!f"&amp;$G$1)</f>
        <v>47.47</v>
      </c>
      <c r="O48" s="1886" t="s">
        <v>1038</v>
      </c>
      <c r="P48" s="1887" t="s">
        <v>1528</v>
      </c>
      <c r="Q48" s="1888" t="str">
        <f ca="1">J60</f>
        <v>0</v>
      </c>
      <c r="R48" s="1888" t="s">
        <v>1529</v>
      </c>
    </row>
    <row r="49" spans="1:18" s="1844" customFormat="1" ht="13.5" thickBot="1">
      <c r="A49" s="1196" t="s">
        <v>1133</v>
      </c>
      <c r="B49" s="1831" t="s">
        <v>1486</v>
      </c>
      <c r="C49" s="1366">
        <f ca="1">ROUND(F49*F51*F50*(1-F52)/10000,0)</f>
        <v>0</v>
      </c>
      <c r="D49" s="1278" t="s">
        <v>3026</v>
      </c>
      <c r="E49" s="1832" t="s">
        <v>1487</v>
      </c>
      <c r="F49" s="1283"/>
      <c r="G49" s="1893"/>
      <c r="H49" s="792"/>
      <c r="I49" s="1889" t="s">
        <v>1530</v>
      </c>
      <c r="J49" s="1894">
        <f>'数据-取费表'!N17</f>
        <v>2018</v>
      </c>
      <c r="K49" s="1891" t="s">
        <v>1531</v>
      </c>
      <c r="L49" s="1895"/>
      <c r="O49" s="1896" t="s">
        <v>1039</v>
      </c>
      <c r="P49" s="1887" t="s">
        <v>1532</v>
      </c>
      <c r="Q49" s="1888">
        <f ca="1">C29</f>
        <v>3931</v>
      </c>
      <c r="R49" s="1888" t="s">
        <v>1525</v>
      </c>
    </row>
    <row r="50" spans="1:18" s="1844" customFormat="1" ht="13.5" thickBot="1">
      <c r="A50" s="1197"/>
      <c r="B50" s="1200"/>
      <c r="C50" s="1370"/>
      <c r="D50" s="1174"/>
      <c r="E50" s="1279" t="s">
        <v>1402</v>
      </c>
      <c r="F50" s="1280">
        <f ca="1">F7</f>
        <v>17987.810000000001</v>
      </c>
      <c r="H50" s="792"/>
      <c r="I50" s="1889" t="s">
        <v>1533</v>
      </c>
      <c r="J50" s="1897">
        <f>SUMPRODUCT((I63:I65=J47)*(J62:L62=J48)*(J63:L65))</f>
        <v>50</v>
      </c>
      <c r="K50" s="1891" t="s">
        <v>1534</v>
      </c>
      <c r="L50" s="1895"/>
      <c r="M50" s="1898"/>
      <c r="O50" s="1896" t="s">
        <v>1040</v>
      </c>
      <c r="P50" s="1887" t="s">
        <v>1535</v>
      </c>
      <c r="Q50" s="1899" t="e">
        <f ca="1">J58</f>
        <v>#VALUE!</v>
      </c>
      <c r="R50" s="1888"/>
    </row>
    <row r="51" spans="1:18" s="1844" customFormat="1" ht="13.5" thickBot="1">
      <c r="A51" s="1198"/>
      <c r="B51" s="1200"/>
      <c r="C51" s="1201"/>
      <c r="D51" s="1174"/>
      <c r="E51" s="1202" t="s">
        <v>1403</v>
      </c>
      <c r="F51" s="347">
        <f ca="1">F8</f>
        <v>365</v>
      </c>
      <c r="I51" s="1900" t="s">
        <v>1536</v>
      </c>
      <c r="J51" s="1901">
        <f>IF(J49="",J50,J49+J50-YEAR('数据-取费表'!B2))</f>
        <v>49</v>
      </c>
      <c r="K51" s="1902" t="s">
        <v>1537</v>
      </c>
      <c r="L51" s="1903">
        <f ca="1">ROUND(-PV(INDIRECT("'数据-取费表'!h"&amp;$G$1),L48,(C39-C13*C76),0),0)</f>
        <v>-2197</v>
      </c>
      <c r="M51" s="1904"/>
      <c r="O51" s="1896" t="s">
        <v>1041</v>
      </c>
      <c r="P51" s="1887" t="s">
        <v>1538</v>
      </c>
      <c r="Q51" s="1899">
        <f>J52</f>
        <v>9.0000000000000011E-2</v>
      </c>
      <c r="R51" s="1888"/>
    </row>
    <row r="52" spans="1:18" s="1844" customFormat="1" ht="13.5" thickBot="1">
      <c r="A52" s="1198"/>
      <c r="B52" s="1200"/>
      <c r="C52" s="1201"/>
      <c r="D52" s="1174"/>
      <c r="E52" s="1202" t="s">
        <v>1404</v>
      </c>
      <c r="F52" s="1277"/>
      <c r="I52" s="1905" t="s">
        <v>1539</v>
      </c>
      <c r="J52" s="1906">
        <f>'数据-取费表'!J6+0.005</f>
        <v>9.0000000000000011E-2</v>
      </c>
      <c r="K52" s="1905" t="s">
        <v>1540</v>
      </c>
      <c r="L52" s="1906"/>
      <c r="O52" s="1896" t="s">
        <v>1042</v>
      </c>
      <c r="P52" s="1887" t="s">
        <v>1541</v>
      </c>
      <c r="Q52" s="1888">
        <f ca="1">J53</f>
        <v>47.47</v>
      </c>
      <c r="R52" s="1888" t="s">
        <v>1542</v>
      </c>
    </row>
    <row r="53" spans="1:18" s="1844" customFormat="1" ht="24.75" thickBot="1">
      <c r="A53" s="1407" t="s">
        <v>1134</v>
      </c>
      <c r="B53" s="1833" t="s">
        <v>1405</v>
      </c>
      <c r="C53" s="360">
        <f ca="1">ROUND(IF(F53="押一",C49/12*F11,IF(F53="押二",C49/12*2*F11,IF(F53="押三",C49/12*3*F11,C54*F11))),0)</f>
        <v>0</v>
      </c>
      <c r="D53" s="1826" t="s">
        <v>3033</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47.47</v>
      </c>
      <c r="K53" s="3204" t="s">
        <v>1544</v>
      </c>
      <c r="L53" s="3205"/>
      <c r="O53" s="1886" t="s">
        <v>1043</v>
      </c>
      <c r="P53" s="1887" t="s">
        <v>1545</v>
      </c>
      <c r="Q53" s="1888">
        <f ca="1">Q47+Q48</f>
        <v>5431</v>
      </c>
      <c r="R53" s="1888" t="s">
        <v>1044</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8">
        <v>2</v>
      </c>
      <c r="B56" s="1179" t="s">
        <v>1410</v>
      </c>
      <c r="C56" s="275">
        <f ca="1">C13</f>
        <v>3892</v>
      </c>
      <c r="D56" s="1916"/>
      <c r="E56" s="1917"/>
      <c r="F56" s="1909"/>
      <c r="I56" s="1918" t="s">
        <v>1550</v>
      </c>
      <c r="J56" s="1919" t="s">
        <v>3067</v>
      </c>
      <c r="K56" s="1889" t="s">
        <v>1551</v>
      </c>
      <c r="L56" s="1892" t="str">
        <f ca="1">IF(L48&lt;J51,"——",L48-J53)</f>
        <v>——</v>
      </c>
      <c r="O56" s="1886" t="s">
        <v>1037</v>
      </c>
      <c r="P56" s="1887" t="s">
        <v>1524</v>
      </c>
      <c r="Q56" s="1888">
        <f ca="1">C40+J29</f>
        <v>5431</v>
      </c>
      <c r="R56" s="1888" t="s">
        <v>1525</v>
      </c>
    </row>
    <row r="57" spans="1:18" s="1844" customFormat="1" ht="24.75" thickBot="1">
      <c r="A57" s="1920"/>
      <c r="B57" s="1171" t="s">
        <v>1474</v>
      </c>
      <c r="C57" s="281">
        <f ca="1">C29</f>
        <v>3931</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59" t="s">
        <v>1027</v>
      </c>
      <c r="B58" s="1179" t="s">
        <v>1420</v>
      </c>
      <c r="C58" s="360">
        <f ca="1">ROUND(C59+C64+C65+C66,0)</f>
        <v>403</v>
      </c>
      <c r="D58" s="1181" t="s">
        <v>1421</v>
      </c>
      <c r="E58" s="1182"/>
      <c r="F58" s="1183"/>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ROUND(IF(项目基本情况!B11="自然人",C48*F59,C60+C61+C62),1)</f>
        <v>337.9</v>
      </c>
      <c r="D59" s="1184" t="s">
        <v>1426</v>
      </c>
      <c r="E59" s="1185" t="s">
        <v>1427</v>
      </c>
      <c r="F59" s="367"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1489</v>
      </c>
      <c r="C61" s="24">
        <f ca="1">IF(项目基本情况!B11="自然人","——",IF(D61="按租金收入计税",ROUND(C48*F61,2),IF(D61="按房产原值计税",ROUND(C57*F61*0.7,2),INDIRECT("'数据-取费表'!Aj"&amp;$G$1))))</f>
        <v>330.2</v>
      </c>
      <c r="D61" s="1830" t="s">
        <v>1434</v>
      </c>
      <c r="E61" s="1171" t="s">
        <v>1490</v>
      </c>
      <c r="F61" s="366">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1492</v>
      </c>
      <c r="C62" s="25">
        <f ca="1">IF(项目基本情况!B11="自然人","——",ROUND(F62*F63/10000,2))</f>
        <v>7.71</v>
      </c>
      <c r="D62" s="1186" t="s">
        <v>1493</v>
      </c>
      <c r="E62" s="1171" t="s">
        <v>1494</v>
      </c>
      <c r="F62" s="370">
        <f t="shared" si="0"/>
        <v>3</v>
      </c>
      <c r="I62" s="1931" t="s">
        <v>1566</v>
      </c>
      <c r="J62" s="1932" t="s">
        <v>1567</v>
      </c>
      <c r="K62" s="1932" t="s">
        <v>1568</v>
      </c>
      <c r="L62" s="1932" t="s">
        <v>1569</v>
      </c>
      <c r="M62" s="1933" t="s">
        <v>1570</v>
      </c>
      <c r="O62" s="1886" t="s">
        <v>1043</v>
      </c>
      <c r="P62" s="1887" t="s">
        <v>1571</v>
      </c>
      <c r="Q62" s="1888">
        <f ca="1">Q56+Q57</f>
        <v>5431</v>
      </c>
      <c r="R62" s="1888" t="s">
        <v>1044</v>
      </c>
    </row>
    <row r="63" spans="1:18" s="1844" customFormat="1" ht="13.5" thickBot="1">
      <c r="A63" s="371"/>
      <c r="B63" s="1177"/>
      <c r="C63" s="29"/>
      <c r="D63" s="1187"/>
      <c r="E63" s="1171" t="s">
        <v>1495</v>
      </c>
      <c r="F63" s="347">
        <f t="shared" ca="1" si="0"/>
        <v>25697.15</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4">
        <f ca="1">ROUND(C57*F64,1)</f>
        <v>59</v>
      </c>
      <c r="D64" s="1185" t="s">
        <v>1498</v>
      </c>
      <c r="E64" s="1171" t="s">
        <v>1490</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ROUND(C56*F65,1)</f>
        <v>5.8</v>
      </c>
      <c r="D65" s="1185" t="s">
        <v>1450</v>
      </c>
      <c r="E65" s="1171" t="s">
        <v>1451</v>
      </c>
      <c r="F65" s="375">
        <f t="shared" ca="1" si="0"/>
        <v>1.5E-3</v>
      </c>
      <c r="I65" s="1931" t="s">
        <v>1575</v>
      </c>
      <c r="J65" s="1932">
        <v>40</v>
      </c>
      <c r="K65" s="1932">
        <v>30</v>
      </c>
      <c r="L65" s="1932">
        <v>50</v>
      </c>
      <c r="M65" s="1934">
        <v>0.02</v>
      </c>
      <c r="O65" s="1886" t="s">
        <v>1037</v>
      </c>
      <c r="P65" s="1887" t="s">
        <v>1576</v>
      </c>
      <c r="Q65" s="1888">
        <f ca="1">C40+J29</f>
        <v>5431</v>
      </c>
      <c r="R65" s="1888" t="s">
        <v>1525</v>
      </c>
    </row>
    <row r="66" spans="1:18" s="1844" customFormat="1" ht="16.5" thickBot="1">
      <c r="A66" s="1203" t="s">
        <v>1500</v>
      </c>
      <c r="B66" s="1171" t="s">
        <v>1435</v>
      </c>
      <c r="C66" s="24">
        <f ca="1">ROUND(C48*F66,1)</f>
        <v>0</v>
      </c>
      <c r="D66" s="1185" t="s">
        <v>1501</v>
      </c>
      <c r="E66" s="1171" t="s">
        <v>1418</v>
      </c>
      <c r="F66" s="356">
        <f t="shared" ca="1" si="0"/>
        <v>0.01</v>
      </c>
      <c r="O66" s="1886" t="s">
        <v>1038</v>
      </c>
      <c r="P66" s="1887" t="s">
        <v>1554</v>
      </c>
      <c r="Q66" s="1888">
        <f ca="1">L60</f>
        <v>0</v>
      </c>
      <c r="R66" s="1888" t="s">
        <v>1577</v>
      </c>
    </row>
    <row r="67" spans="1:18" s="1844" customFormat="1" ht="16.5" thickBot="1">
      <c r="A67" s="1178" t="s">
        <v>1028</v>
      </c>
      <c r="B67" s="1188" t="s">
        <v>1459</v>
      </c>
      <c r="C67" s="360">
        <f ca="1">C48-C58</f>
        <v>-403</v>
      </c>
      <c r="D67" s="1184" t="s">
        <v>1460</v>
      </c>
      <c r="E67" s="1189"/>
      <c r="F67" s="1190"/>
      <c r="O67" s="1896" t="s">
        <v>1039</v>
      </c>
      <c r="P67" s="1887" t="s">
        <v>1558</v>
      </c>
      <c r="Q67" s="1935">
        <f ca="1">L51</f>
        <v>-2197</v>
      </c>
      <c r="R67" s="1888" t="s">
        <v>1578</v>
      </c>
    </row>
    <row r="68" spans="1:18" s="1844" customFormat="1" ht="16.5" thickBot="1">
      <c r="A68" s="1168" t="s">
        <v>1029</v>
      </c>
      <c r="B68" s="1169" t="s">
        <v>1481</v>
      </c>
      <c r="C68" s="345">
        <f ca="1">ROUND(C67*(1-((1+F70)/(1+F68))^F69)/(F68-F70),0)</f>
        <v>-7265</v>
      </c>
      <c r="D68" s="1186" t="s">
        <v>1465</v>
      </c>
      <c r="E68" s="1171" t="s">
        <v>1466</v>
      </c>
      <c r="F68" s="356">
        <f ca="1">F40</f>
        <v>0.05</v>
      </c>
      <c r="O68" s="1896" t="s">
        <v>1040</v>
      </c>
      <c r="P68" s="1936" t="s">
        <v>1579</v>
      </c>
      <c r="Q68" s="1888">
        <f ca="1">ROUND(Q69-Q70*Q71,0)</f>
        <v>-113</v>
      </c>
      <c r="R68" s="1888" t="s">
        <v>1048</v>
      </c>
    </row>
    <row r="69" spans="1:18" s="1844" customFormat="1" ht="13.5" thickBot="1">
      <c r="A69" s="1172"/>
      <c r="B69" s="1173"/>
      <c r="C69" s="350"/>
      <c r="D69" s="1191" t="s">
        <v>1469</v>
      </c>
      <c r="E69" s="1171" t="s">
        <v>1470</v>
      </c>
      <c r="F69" s="378">
        <f ca="1">F41</f>
        <v>47.47</v>
      </c>
      <c r="O69" s="1896" t="s">
        <v>1045</v>
      </c>
      <c r="P69" s="1936" t="s">
        <v>1580</v>
      </c>
      <c r="Q69" s="1888">
        <f ca="1">C39</f>
        <v>218</v>
      </c>
      <c r="R69" s="1888" t="s">
        <v>1525</v>
      </c>
    </row>
    <row r="70" spans="1:18" s="1844" customFormat="1" ht="13.5" thickBot="1">
      <c r="A70" s="1175"/>
      <c r="B70" s="1176"/>
      <c r="C70" s="354"/>
      <c r="D70" s="1187"/>
      <c r="E70" s="1171" t="s">
        <v>1473</v>
      </c>
      <c r="F70" s="1277"/>
      <c r="O70" s="1896" t="s">
        <v>1046</v>
      </c>
      <c r="P70" s="1936" t="s">
        <v>1581</v>
      </c>
      <c r="Q70" s="1888">
        <f ca="1">C13</f>
        <v>3892</v>
      </c>
      <c r="R70" s="1888" t="s">
        <v>1525</v>
      </c>
    </row>
    <row r="71" spans="1:18" s="1844" customFormat="1" ht="13.5" thickBot="1">
      <c r="A71" s="1192" t="s">
        <v>1030</v>
      </c>
      <c r="B71" s="1193" t="s">
        <v>1483</v>
      </c>
      <c r="C71" s="381">
        <f ca="1">ROUND(C68*10000/F71,0)</f>
        <v>-4039</v>
      </c>
      <c r="D71" s="1194" t="s">
        <v>1484</v>
      </c>
      <c r="E71" s="1195" t="s">
        <v>1485</v>
      </c>
      <c r="F71" s="384">
        <f ca="1">F43</f>
        <v>17987.810000000001</v>
      </c>
      <c r="O71" s="1896" t="s">
        <v>1047</v>
      </c>
      <c r="P71" s="1936" t="s">
        <v>1582</v>
      </c>
      <c r="Q71" s="1899">
        <f ca="1">C76</f>
        <v>8.5000000000000006E-2</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5" t="s">
        <v>1502</v>
      </c>
      <c r="C75" s="386">
        <f ca="1">ROUND(C13*C76,0)</f>
        <v>331</v>
      </c>
      <c r="D75" s="1844"/>
      <c r="E75" s="1844"/>
      <c r="F75" s="1844"/>
      <c r="K75" s="1870"/>
      <c r="L75" s="1844"/>
      <c r="O75" s="1886" t="s">
        <v>1043</v>
      </c>
      <c r="P75" s="1887" t="s">
        <v>1545</v>
      </c>
      <c r="Q75" s="1888">
        <f ca="1">Q65+Q66</f>
        <v>5431</v>
      </c>
      <c r="R75" s="1888" t="s">
        <v>1044</v>
      </c>
    </row>
    <row r="76" spans="1:18">
      <c r="B76" s="387" t="s">
        <v>1503</v>
      </c>
      <c r="C76" s="388">
        <f ca="1">INDIRECT("'数据-取费表'!j"&amp;$G$1)</f>
        <v>8.5000000000000006E-2</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-0.51800000000000002</v>
      </c>
    </row>
    <row r="80" spans="1:18">
      <c r="B80" s="385" t="s">
        <v>1507</v>
      </c>
      <c r="C80" s="317">
        <f ca="1">ROUND(C75/C39,3)</f>
        <v>1.518</v>
      </c>
    </row>
    <row r="81" spans="2:3">
      <c r="B81" s="313" t="s">
        <v>1508</v>
      </c>
      <c r="C81" s="281"/>
    </row>
    <row r="82" spans="2:3">
      <c r="B82" s="316" t="s">
        <v>1509</v>
      </c>
      <c r="C82" s="318">
        <f ca="1">1-C83</f>
        <v>0.28300000000000003</v>
      </c>
    </row>
    <row r="83" spans="2:3">
      <c r="B83" s="316" t="s">
        <v>1510</v>
      </c>
      <c r="C83" s="317">
        <f ca="1">ROUND(C13/C40,3)</f>
        <v>0.71699999999999997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c r="D1" s="1822"/>
      <c r="E1" s="1823" t="s">
        <v>1383</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3" t="s">
        <v>1584</v>
      </c>
      <c r="I3" s="1842"/>
      <c r="J3" s="1842"/>
      <c r="K3" s="1843"/>
      <c r="L3" s="1842"/>
      <c r="M3" s="1842"/>
    </row>
    <row r="4" spans="1:37" ht="18" customHeight="1">
      <c r="A4" s="339" t="s">
        <v>1591</v>
      </c>
      <c r="B4" s="340" t="s">
        <v>1592</v>
      </c>
      <c r="C4" s="340" t="s">
        <v>1593</v>
      </c>
      <c r="D4" s="340" t="s">
        <v>1594</v>
      </c>
      <c r="E4" s="341" t="s">
        <v>1595</v>
      </c>
      <c r="F4" s="342"/>
      <c r="G4" s="1853"/>
      <c r="H4" s="339" t="s">
        <v>1591</v>
      </c>
      <c r="I4" s="340" t="s">
        <v>1592</v>
      </c>
      <c r="J4" s="340" t="s">
        <v>1593</v>
      </c>
      <c r="K4" s="340" t="s">
        <v>1594</v>
      </c>
      <c r="L4" s="341" t="s">
        <v>1595</v>
      </c>
      <c r="M4" s="342"/>
    </row>
    <row r="5" spans="1:37" ht="18" customHeight="1">
      <c r="A5" s="343">
        <v>1</v>
      </c>
      <c r="B5" s="344" t="s">
        <v>1596</v>
      </c>
      <c r="C5" s="1294">
        <f ca="1">C6+C10+C12</f>
        <v>0</v>
      </c>
      <c r="D5" s="1824" t="s">
        <v>1597</v>
      </c>
      <c r="E5" s="1295"/>
      <c r="F5" s="1296"/>
      <c r="G5" s="1853"/>
      <c r="H5" s="343">
        <v>1</v>
      </c>
      <c r="I5" s="344" t="s">
        <v>1596</v>
      </c>
      <c r="J5" s="1294">
        <f ca="1">J6+J10+J12</f>
        <v>0</v>
      </c>
      <c r="K5" s="1824" t="s">
        <v>1597</v>
      </c>
      <c r="L5" s="1295"/>
      <c r="M5" s="1296"/>
    </row>
    <row r="6" spans="1:37" ht="18" customHeight="1">
      <c r="A6" s="1293" t="s">
        <v>1032</v>
      </c>
      <c r="B6" s="3206" t="s">
        <v>1399</v>
      </c>
      <c r="C6" s="1298">
        <f ca="1">ROUND(F6*F8*F7*(1-F9),0)</f>
        <v>0</v>
      </c>
      <c r="D6" s="163" t="s">
        <v>3022</v>
      </c>
      <c r="E6" s="346" t="s">
        <v>1401</v>
      </c>
      <c r="F6" s="347">
        <f ca="1">INDIRECT("'数据-取费表'!u"&amp;$G$1)</f>
        <v>0</v>
      </c>
      <c r="G6" s="1853"/>
      <c r="H6" s="1293" t="s">
        <v>1032</v>
      </c>
      <c r="I6" s="3206" t="s">
        <v>1399</v>
      </c>
      <c r="J6" s="345">
        <f ca="1">ROUND(M6*M8*M7*(1-M9),0)</f>
        <v>0</v>
      </c>
      <c r="K6" s="1836" t="s">
        <v>3023</v>
      </c>
      <c r="L6" s="346" t="s">
        <v>1401</v>
      </c>
      <c r="M6" s="347">
        <f ca="1">INDIRECT("'数据-取费表'!z"&amp;$G$1)</f>
        <v>0</v>
      </c>
    </row>
    <row r="7" spans="1:37" ht="18" customHeight="1">
      <c r="A7" s="1297"/>
      <c r="B7" s="3207"/>
      <c r="C7" s="1299"/>
      <c r="D7" s="351"/>
      <c r="E7" s="1300" t="s">
        <v>1402</v>
      </c>
      <c r="F7" s="347">
        <f ca="1">IF(INDIRECT("'数据-取费表'!ah"&amp;$G$1)="",INDIRECT("'数据-取费表'!k"&amp;$G$1),INDIRECT("'数据-取费表'!ah"&amp;$G$1))</f>
        <v>0</v>
      </c>
      <c r="G7" s="1853"/>
      <c r="H7" s="348"/>
      <c r="I7" s="3207"/>
      <c r="J7" s="350"/>
      <c r="K7" s="351"/>
      <c r="L7" s="346" t="s">
        <v>1402</v>
      </c>
      <c r="M7" s="347">
        <f ca="1">F7</f>
        <v>0</v>
      </c>
    </row>
    <row r="8" spans="1:37" ht="18" customHeight="1">
      <c r="A8" s="348"/>
      <c r="B8" s="3207"/>
      <c r="C8" s="350"/>
      <c r="D8" s="351"/>
      <c r="E8" s="346" t="s">
        <v>1403</v>
      </c>
      <c r="F8" s="347">
        <f ca="1">INDIRECT("'数据-取费表'!ai"&amp;$G$1)</f>
        <v>0</v>
      </c>
      <c r="G8" s="1853"/>
      <c r="H8" s="348"/>
      <c r="I8" s="3207"/>
      <c r="J8" s="350"/>
      <c r="K8" s="351"/>
      <c r="L8" s="346" t="s">
        <v>1403</v>
      </c>
      <c r="M8" s="347">
        <f ca="1">INDIRECT("'数据-取费表'!ai"&amp;$G$1)</f>
        <v>0</v>
      </c>
    </row>
    <row r="9" spans="1:37" ht="18" customHeight="1">
      <c r="A9" s="348"/>
      <c r="B9" s="3208"/>
      <c r="C9" s="350"/>
      <c r="D9" s="351"/>
      <c r="E9" s="346" t="s">
        <v>1404</v>
      </c>
      <c r="F9" s="356">
        <f ca="1">INDIRECT("'数据-取费表'!w"&amp;$G$1)</f>
        <v>0</v>
      </c>
      <c r="G9" s="1853"/>
      <c r="H9" s="348"/>
      <c r="I9" s="3208"/>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3033</v>
      </c>
      <c r="E10" s="357" t="s">
        <v>1406</v>
      </c>
      <c r="F10" s="1368"/>
      <c r="G10" s="1853"/>
      <c r="H10" s="1293" t="s">
        <v>1036</v>
      </c>
      <c r="I10" s="1825" t="s">
        <v>1405</v>
      </c>
      <c r="J10" s="345">
        <f ca="1">ROUND(IF(M10="押一",J6/12*M11,IF(M10="押二",J6/12*2*M11,IF(M10="押三",J6/12*3*M11,J11*M11))),0)</f>
        <v>0</v>
      </c>
      <c r="K10" s="1837" t="s">
        <v>3035</v>
      </c>
      <c r="L10" s="357" t="s">
        <v>1406</v>
      </c>
      <c r="M10" s="1368"/>
    </row>
    <row r="11" spans="1:37" ht="18" customHeight="1">
      <c r="A11" s="352"/>
      <c r="B11" s="1827" t="s">
        <v>1598</v>
      </c>
      <c r="C11" s="1180"/>
      <c r="D11" s="351"/>
      <c r="E11" s="357" t="s">
        <v>1408</v>
      </c>
      <c r="F11" s="358">
        <f ca="1">'数据-取费表'!B39</f>
        <v>1.4999999999999999E-2</v>
      </c>
      <c r="G11" s="1853"/>
      <c r="H11" s="1301"/>
      <c r="I11" s="1827" t="s">
        <v>1599</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3" t="s">
        <v>1031</v>
      </c>
      <c r="B14" s="346" t="s">
        <v>1413</v>
      </c>
      <c r="C14" s="362">
        <f ca="1">ROUND(INDIRECT("'数据-取费表'!l"&amp;$G$1)*F43+'数据-取费表'!L14*INDIRECT("'数据-取费表'!S"&amp;$G$1),0)</f>
        <v>0</v>
      </c>
      <c r="D14" s="1802" t="s">
        <v>1414</v>
      </c>
      <c r="E14" s="1796"/>
      <c r="F14" s="363"/>
      <c r="G14" s="1853"/>
      <c r="H14" s="1203" t="s">
        <v>1032</v>
      </c>
      <c r="I14" s="346" t="s">
        <v>1415</v>
      </c>
      <c r="J14" s="24">
        <f ca="1">C29</f>
        <v>0</v>
      </c>
      <c r="K14" s="15"/>
      <c r="L14" s="981"/>
      <c r="M14" s="982"/>
    </row>
    <row r="15" spans="1:37" s="1860" customFormat="1" ht="18" customHeight="1" thickBot="1">
      <c r="A15" s="1203" t="s">
        <v>1033</v>
      </c>
      <c r="B15" s="346" t="s">
        <v>1416</v>
      </c>
      <c r="C15" s="24">
        <f ca="1">ROUND(C14*F15,0)</f>
        <v>0</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3"/>
      <c r="H16" s="1331" t="s">
        <v>1027</v>
      </c>
      <c r="I16" s="1332" t="s">
        <v>1420</v>
      </c>
      <c r="J16" s="354">
        <f ca="1">ROUND(J17+J22+J23+J24,0)</f>
        <v>0</v>
      </c>
      <c r="K16" s="1339" t="s">
        <v>1421</v>
      </c>
      <c r="L16" s="1340"/>
      <c r="M16" s="1296"/>
    </row>
    <row r="17" spans="1:37" s="1860" customFormat="1" ht="18" customHeight="1">
      <c r="A17" s="1203" t="s">
        <v>1386</v>
      </c>
      <c r="B17" s="346" t="s">
        <v>1422</v>
      </c>
      <c r="C17" s="24">
        <f ca="1">ROUND(F17*(F43+INDIRECT("'数据-取费表'!S"&amp;$G$1)),0)</f>
        <v>0</v>
      </c>
      <c r="D17" s="346" t="s">
        <v>1423</v>
      </c>
      <c r="E17" s="346" t="s">
        <v>1424</v>
      </c>
      <c r="F17" s="26">
        <f>'数据-取费表'!B35</f>
        <v>200</v>
      </c>
      <c r="G17" s="1856"/>
      <c r="H17" s="1203" t="s">
        <v>1032</v>
      </c>
      <c r="I17" s="346" t="s">
        <v>1425</v>
      </c>
      <c r="J17" s="24">
        <f ca="1">ROUND(IF(项目基本情况!B11="自然人",J5*M17,J18+J19+J20),0)</f>
        <v>0</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4">
        <f ca="1">ROUND(C14*F18,0)</f>
        <v>0</v>
      </c>
      <c r="D18" s="346" t="s">
        <v>1417</v>
      </c>
      <c r="E18" s="346" t="s">
        <v>1418</v>
      </c>
      <c r="F18" s="366">
        <f>'数据-取费表'!B36</f>
        <v>1.4999999999999999E-2</v>
      </c>
      <c r="G18" s="1856"/>
      <c r="H18" s="1203" t="s">
        <v>1031</v>
      </c>
      <c r="I18" s="346" t="s">
        <v>1429</v>
      </c>
      <c r="J18" s="24">
        <f ca="1">ROUND(J5*M18/(1+'数据-取费表'!C42),0)</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4">
        <f ca="1">SUM(C14:C18)</f>
        <v>0</v>
      </c>
      <c r="D19" s="139" t="s">
        <v>1432</v>
      </c>
      <c r="E19" s="1820"/>
      <c r="F19" s="26"/>
      <c r="G19" s="1853"/>
      <c r="H19" s="1203" t="s">
        <v>1033</v>
      </c>
      <c r="I19" s="346" t="s">
        <v>1433</v>
      </c>
      <c r="J19" s="24">
        <f ca="1">IF(K19="按租金收入计税",ROUND(J5*M19,0),ROUND(C29*M19*0.7,0))</f>
        <v>0</v>
      </c>
      <c r="K19" s="1830" t="s">
        <v>1434</v>
      </c>
      <c r="L19" s="346" t="s">
        <v>1418</v>
      </c>
      <c r="M19" s="366">
        <f>IF(K19="按租金收入计税",'数据-取费表'!B51,'数据-取费表'!B50)</f>
        <v>1.2E-2</v>
      </c>
    </row>
    <row r="20" spans="1:37" s="1860" customFormat="1" ht="18" customHeight="1">
      <c r="A20" s="1203" t="s">
        <v>1036</v>
      </c>
      <c r="B20" s="346" t="s">
        <v>1435</v>
      </c>
      <c r="C20" s="24">
        <f ca="1">ROUND(C19*F20,0)</f>
        <v>0</v>
      </c>
      <c r="D20" s="368" t="s">
        <v>1436</v>
      </c>
      <c r="E20" s="346" t="s">
        <v>1418</v>
      </c>
      <c r="F20" s="366">
        <f>'数据-取费表'!B37</f>
        <v>0.02</v>
      </c>
      <c r="G20" s="1856"/>
      <c r="H20" s="1203" t="s">
        <v>1385</v>
      </c>
      <c r="I20" s="163" t="s">
        <v>1437</v>
      </c>
      <c r="J20" s="25">
        <f ca="1">ROUND(M20*M21,0)</f>
        <v>0</v>
      </c>
      <c r="K20" s="369" t="s">
        <v>1438</v>
      </c>
      <c r="L20" s="346" t="s">
        <v>1439</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4" t="s">
        <v>1</v>
      </c>
      <c r="D21" s="368" t="s">
        <v>1441</v>
      </c>
      <c r="E21" s="346" t="s">
        <v>1442</v>
      </c>
      <c r="F21" s="366">
        <f>'数据-取费表'!B38</f>
        <v>0.02</v>
      </c>
      <c r="G21" s="1856"/>
      <c r="H21" s="371"/>
      <c r="I21" s="355"/>
      <c r="J21" s="29"/>
      <c r="K21" s="372"/>
      <c r="L21" s="346" t="s">
        <v>1443</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4"/>
      <c r="D22" s="139" t="str">
        <f>IF(F23&lt;=1,"单利计息。","复利计息。")&amp;"建造成本、管理费用、销售费用产生的利息。"</f>
        <v>单利计息。建造成本、管理费用、销售费用产生的利息。</v>
      </c>
      <c r="E22" s="1820"/>
      <c r="F22" s="26"/>
      <c r="G22" s="1853"/>
      <c r="H22" s="1203" t="s">
        <v>1036</v>
      </c>
      <c r="I22" s="346" t="s">
        <v>1445</v>
      </c>
      <c r="J22" s="24">
        <f ca="1">ROUND(J14*M22,0)</f>
        <v>0</v>
      </c>
      <c r="K22" s="1800" t="s">
        <v>1446</v>
      </c>
      <c r="L22" s="346" t="s">
        <v>1418</v>
      </c>
      <c r="M22" s="373">
        <f ca="1">INDIRECT("'数据-取费表'!Ak"&amp;$G$1)</f>
        <v>0</v>
      </c>
    </row>
    <row r="23" spans="1:37" s="1860"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1448</v>
      </c>
      <c r="F23" s="370">
        <f>'数据-取费表'!B20</f>
        <v>1</v>
      </c>
      <c r="G23" s="1856"/>
      <c r="H23" s="1203" t="s">
        <v>1072</v>
      </c>
      <c r="I23" s="346" t="s">
        <v>1449</v>
      </c>
      <c r="J23" s="24">
        <f ca="1">ROUND(J13*M23,0)</f>
        <v>0</v>
      </c>
      <c r="K23" s="1800" t="s">
        <v>1450</v>
      </c>
      <c r="L23" s="346" t="s">
        <v>1451</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4">
        <f ca="1">ROUND(IF('数据-取费表'!B22&lt;=1,F21*F24*F23/2,F21*(POWER((1+F24),F23/2)-1)),4)</f>
        <v>4.0000000000000002E-4</v>
      </c>
      <c r="D24" s="374" t="str">
        <f>IF(F23&lt;=1,"销售费用×利率×(建设周期÷2)","销售费用×((1+利率)^(建设周期÷2)-1)")</f>
        <v>销售费用×利率×(建设周期÷2)</v>
      </c>
      <c r="E24" s="346" t="s">
        <v>1454</v>
      </c>
      <c r="F24" s="376">
        <f ca="1">'数据-取费表'!B40</f>
        <v>4.3499999999999997E-2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6" t="s">
        <v>1457</v>
      </c>
      <c r="C25" s="24"/>
      <c r="D25" s="139" t="s">
        <v>1458</v>
      </c>
      <c r="E25" s="1820"/>
      <c r="F25" s="26"/>
      <c r="G25" s="1853"/>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3"/>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4">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79" t="s">
        <v>1030</v>
      </c>
      <c r="I29" s="380" t="s">
        <v>1475</v>
      </c>
      <c r="J29" s="381">
        <f ca="1">ROUND(J26/(1+F40)^F41,0)</f>
        <v>0</v>
      </c>
      <c r="K29" s="382" t="s">
        <v>1476</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0</v>
      </c>
      <c r="D30" s="1339" t="s">
        <v>1421</v>
      </c>
      <c r="E30" s="1340"/>
      <c r="F30" s="1296"/>
      <c r="G30" s="1853"/>
      <c r="H30" s="744"/>
      <c r="I30" s="745"/>
      <c r="J30" s="746"/>
      <c r="K30" s="747"/>
      <c r="L30" s="748"/>
      <c r="M30" s="749"/>
    </row>
    <row r="31" spans="1:37" ht="18" customHeight="1">
      <c r="A31" s="1203" t="s">
        <v>1032</v>
      </c>
      <c r="B31" s="346" t="s">
        <v>1425</v>
      </c>
      <c r="C31" s="24">
        <f ca="1">ROUND(IF(项目基本情况!B11="自然人",C5*F31,C32+C33+C34),0)</f>
        <v>0</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4">
        <f ca="1">IF(项目基本情况!B11="自然人","——",ROUND(C5*F32/(1+'数据-取费表'!C42),0))</f>
        <v>0</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30" t="s">
        <v>1434</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5">
        <f ca="1">IF(项目基本情况!B11="自然人","——",ROUND(F34*F35,))</f>
        <v>0</v>
      </c>
      <c r="D34" s="369" t="s">
        <v>1438</v>
      </c>
      <c r="E34" s="346" t="s">
        <v>1439</v>
      </c>
      <c r="F34" s="370">
        <f>'数据-取费表'!B52</f>
        <v>3</v>
      </c>
      <c r="G34" s="1853"/>
      <c r="H34" s="744"/>
      <c r="I34" s="1862"/>
      <c r="J34" s="1863"/>
      <c r="K34" s="1865"/>
      <c r="L34" s="1866"/>
      <c r="M34" s="1866"/>
    </row>
    <row r="35" spans="1:18" ht="18" customHeight="1">
      <c r="A35" s="1355"/>
      <c r="B35" s="1353"/>
      <c r="C35" s="29"/>
      <c r="D35" s="372"/>
      <c r="E35" s="346" t="s">
        <v>1443</v>
      </c>
      <c r="F35" s="347">
        <f ca="1">INDIRECT("'数据-取费表'!r"&amp;$G$1)</f>
        <v>0</v>
      </c>
      <c r="G35" s="1853"/>
      <c r="H35" s="744"/>
      <c r="I35" s="1862"/>
      <c r="J35" s="1863"/>
      <c r="K35" s="1864"/>
      <c r="L35" s="1861"/>
      <c r="M35" s="1861"/>
    </row>
    <row r="36" spans="1:18" ht="18" customHeight="1">
      <c r="A36" s="1354" t="s">
        <v>1036</v>
      </c>
      <c r="B36" s="346" t="s">
        <v>1445</v>
      </c>
      <c r="C36" s="24">
        <f ca="1">ROUND(C29*F36,0)</f>
        <v>0</v>
      </c>
      <c r="D36" s="1800" t="s">
        <v>1478</v>
      </c>
      <c r="E36" s="346" t="s">
        <v>1418</v>
      </c>
      <c r="F36" s="373">
        <f ca="1">INDIRECT("'数据-取费表'!Ak"&amp;$G$1)</f>
        <v>0</v>
      </c>
      <c r="G36" s="1853"/>
      <c r="H36" s="1861"/>
      <c r="I36" s="1862"/>
      <c r="J36" s="1863"/>
      <c r="K36" s="750"/>
      <c r="L36" s="1861"/>
      <c r="M36" s="1861"/>
    </row>
    <row r="37" spans="1:18" ht="18" customHeight="1">
      <c r="A37" s="1203" t="s">
        <v>1072</v>
      </c>
      <c r="B37" s="346" t="s">
        <v>1449</v>
      </c>
      <c r="C37" s="24">
        <f ca="1">ROUND(C13*F37,0)</f>
        <v>0</v>
      </c>
      <c r="D37" s="1800" t="s">
        <v>1450</v>
      </c>
      <c r="E37" s="346" t="s">
        <v>1451</v>
      </c>
      <c r="F37" s="375">
        <f ca="1">INDIRECT("'数据-取费表'!Al"&amp;$G$1)</f>
        <v>0</v>
      </c>
      <c r="G37" s="1853"/>
      <c r="H37" s="1861"/>
      <c r="I37" s="1862"/>
      <c r="J37" s="1863"/>
      <c r="K37" s="750"/>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4">
        <f ca="1">C5-C30</f>
        <v>0</v>
      </c>
      <c r="D39" s="1347" t="s">
        <v>1480</v>
      </c>
      <c r="E39" s="1348"/>
      <c r="F39" s="1349"/>
      <c r="G39" s="1853"/>
      <c r="H39" s="1861"/>
      <c r="I39" s="1862"/>
      <c r="J39" s="1863"/>
      <c r="K39" s="1867"/>
      <c r="L39" s="1861"/>
      <c r="M39" s="1861"/>
    </row>
    <row r="40" spans="1:18" ht="18" customHeight="1">
      <c r="A40" s="343" t="s">
        <v>1029</v>
      </c>
      <c r="B40" s="344" t="s">
        <v>1481</v>
      </c>
      <c r="C40" s="345" t="e">
        <f ca="1">ROUND(C39*(1-((1+F42)/(1+F40))^F41)/(F40-F42),0)</f>
        <v>#DIV/0!</v>
      </c>
      <c r="D40" s="369" t="s">
        <v>1465</v>
      </c>
      <c r="E40" s="346" t="s">
        <v>1466</v>
      </c>
      <c r="F40" s="356">
        <f ca="1">INDIRECT("'数据-取费表'!I"&amp;$G$1)</f>
        <v>0</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7" t="s">
        <v>1392</v>
      </c>
      <c r="B47" s="1199" t="s">
        <v>1393</v>
      </c>
      <c r="C47" s="1199" t="s">
        <v>1394</v>
      </c>
      <c r="D47" s="1199" t="s">
        <v>1395</v>
      </c>
      <c r="E47" s="1281" t="s">
        <v>1396</v>
      </c>
      <c r="F47" s="1282"/>
      <c r="G47" s="791"/>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2" t="s">
        <v>1132</v>
      </c>
      <c r="B48" s="344" t="s">
        <v>1397</v>
      </c>
      <c r="C48" s="1819">
        <f ca="1">C49+C53+C55</f>
        <v>0</v>
      </c>
      <c r="D48" s="1364"/>
      <c r="E48" s="1365"/>
      <c r="F48" s="1183"/>
      <c r="G48" s="791"/>
      <c r="H48" s="792"/>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6" t="s">
        <v>1133</v>
      </c>
      <c r="B49" s="1831" t="s">
        <v>1486</v>
      </c>
      <c r="C49" s="1366">
        <f ca="1">ROUND(F49*F51*F50*(1-F52),0)</f>
        <v>0</v>
      </c>
      <c r="D49" s="1278" t="s">
        <v>1400</v>
      </c>
      <c r="E49" s="1832" t="s">
        <v>1487</v>
      </c>
      <c r="F49" s="1283"/>
      <c r="G49" s="1893"/>
      <c r="H49" s="792"/>
      <c r="I49" s="1889" t="s">
        <v>1530</v>
      </c>
      <c r="J49" s="1894"/>
      <c r="K49" s="1891" t="s">
        <v>1531</v>
      </c>
      <c r="L49" s="1895"/>
      <c r="O49" s="1896" t="s">
        <v>1039</v>
      </c>
      <c r="P49" s="1887" t="s">
        <v>1532</v>
      </c>
      <c r="Q49" s="1888">
        <f ca="1">C29</f>
        <v>0</v>
      </c>
      <c r="R49" s="1888" t="s">
        <v>1525</v>
      </c>
    </row>
    <row r="50" spans="1:18" s="1844" customFormat="1" ht="13.5" thickBot="1">
      <c r="A50" s="1197"/>
      <c r="B50" s="1200"/>
      <c r="C50" s="1201"/>
      <c r="D50" s="1174"/>
      <c r="E50" s="1279" t="s">
        <v>1402</v>
      </c>
      <c r="F50" s="1280">
        <f ca="1">F7</f>
        <v>0</v>
      </c>
      <c r="H50" s="792"/>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8"/>
      <c r="B51" s="1200"/>
      <c r="C51" s="1201"/>
      <c r="D51" s="1174"/>
      <c r="E51" s="1202" t="s">
        <v>1403</v>
      </c>
      <c r="F51" s="347">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8"/>
      <c r="B52" s="1200"/>
      <c r="C52" s="1201"/>
      <c r="D52" s="1174"/>
      <c r="E52" s="1202"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8" t="s">
        <v>1405</v>
      </c>
      <c r="C53" s="360">
        <f ca="1">ROUND(IF(F53="押一",C49/12*F11,IF(F53="押二",C49/12*2*F11,IF(F53="押三",C49/12*3*F11,C54*F11))),0)</f>
        <v>0</v>
      </c>
      <c r="D53" s="1826" t="s">
        <v>3036</v>
      </c>
      <c r="E53" s="357"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204" t="s">
        <v>1544</v>
      </c>
      <c r="L53" s="3205"/>
      <c r="O53" s="1886" t="s">
        <v>1043</v>
      </c>
      <c r="P53" s="1887" t="s">
        <v>1545</v>
      </c>
      <c r="Q53" s="1888" t="e">
        <f ca="1">Q47+Q48</f>
        <v>#DIV/0!</v>
      </c>
      <c r="R53" s="1888" t="s">
        <v>1044</v>
      </c>
    </row>
    <row r="54" spans="1:18" s="1844" customFormat="1" ht="13.5" thickBot="1">
      <c r="A54" s="1196"/>
      <c r="B54" s="1943" t="s">
        <v>1599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8">
        <v>2</v>
      </c>
      <c r="B56" s="1179" t="s">
        <v>1410</v>
      </c>
      <c r="C56" s="275">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1" t="s">
        <v>1474</v>
      </c>
      <c r="C57" s="281">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59" t="s">
        <v>1027</v>
      </c>
      <c r="B58" s="1179" t="s">
        <v>1420</v>
      </c>
      <c r="C58" s="360">
        <f ca="1">ROUND(C59+C64+C65+C66,0)</f>
        <v>0</v>
      </c>
      <c r="D58" s="1181" t="s">
        <v>1421</v>
      </c>
      <c r="E58" s="1182"/>
      <c r="F58" s="1183"/>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IF(项目基本情况!B11="自然人","——",ROUND(C48*F60/(1+'数据-取费表'!C42),0))</f>
        <v>0</v>
      </c>
      <c r="D60" s="1185" t="s">
        <v>1430</v>
      </c>
      <c r="E60" s="1171" t="s">
        <v>1418</v>
      </c>
      <c r="F60" s="376">
        <f t="shared" ref="F60:F66" si="0">F32</f>
        <v>5.5000000000000007E-2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3" t="s">
        <v>1488</v>
      </c>
      <c r="B61" s="1171" t="s">
        <v>1489</v>
      </c>
      <c r="C61" s="24">
        <f ca="1">IF(项目基本情况!B11="自然人","——",IF(D61="按租金收入计税",ROUND(C48*F61,0),IF(D61="按房产原值计税",ROUND(C57*F61*0.7,0),INDIRECT("'数据-取费表'!Aj"&amp;$G$1))))</f>
        <v>0</v>
      </c>
      <c r="D61" s="1830" t="s">
        <v>1434</v>
      </c>
      <c r="E61" s="1171" t="s">
        <v>1490</v>
      </c>
      <c r="F61" s="366">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3" t="s">
        <v>1491</v>
      </c>
      <c r="B62" s="1170" t="s">
        <v>1492</v>
      </c>
      <c r="C62" s="25">
        <f ca="1">IF(项目基本情况!B11="自然人","——",ROUND(F62*F63,0))</f>
        <v>0</v>
      </c>
      <c r="D62" s="1186" t="s">
        <v>1493</v>
      </c>
      <c r="E62" s="1171" t="s">
        <v>1494</v>
      </c>
      <c r="F62" s="370">
        <f t="shared" si="0"/>
        <v>3</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1"/>
      <c r="B63" s="1177"/>
      <c r="C63" s="29"/>
      <c r="D63" s="1187"/>
      <c r="E63" s="1171" t="s">
        <v>1495</v>
      </c>
      <c r="F63" s="347">
        <f t="shared" ca="1" si="0"/>
        <v>0</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4">
        <f ca="1">ROUND(C57*F64,0)</f>
        <v>0</v>
      </c>
      <c r="D64" s="1185" t="s">
        <v>1498</v>
      </c>
      <c r="E64" s="1171" t="s">
        <v>1490</v>
      </c>
      <c r="F64" s="373">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ROUND(C56*F65,0)</f>
        <v>0</v>
      </c>
      <c r="D65" s="1185" t="s">
        <v>1450</v>
      </c>
      <c r="E65" s="1171" t="s">
        <v>1451</v>
      </c>
      <c r="F65" s="375">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3" t="s">
        <v>1500</v>
      </c>
      <c r="B66" s="1171" t="s">
        <v>1435</v>
      </c>
      <c r="C66" s="24">
        <f ca="1">ROUND(C48*F66,0)</f>
        <v>0</v>
      </c>
      <c r="D66" s="1185" t="s">
        <v>1501</v>
      </c>
      <c r="E66" s="1171" t="s">
        <v>1418</v>
      </c>
      <c r="F66" s="356">
        <f t="shared" ca="1" si="0"/>
        <v>0</v>
      </c>
      <c r="O66" s="1886" t="s">
        <v>1038</v>
      </c>
      <c r="P66" s="1887" t="s">
        <v>1554</v>
      </c>
      <c r="Q66" s="1888" t="e">
        <f ca="1">L60</f>
        <v>#DIV/0!</v>
      </c>
      <c r="R66" s="1888" t="s">
        <v>1577</v>
      </c>
    </row>
    <row r="67" spans="1:18" s="1844" customFormat="1" ht="16.5" thickBot="1">
      <c r="A67" s="1178" t="s">
        <v>1028</v>
      </c>
      <c r="B67" s="1188" t="s">
        <v>1459</v>
      </c>
      <c r="C67" s="360">
        <f ca="1">C48-C58</f>
        <v>0</v>
      </c>
      <c r="D67" s="1184" t="s">
        <v>1460</v>
      </c>
      <c r="E67" s="1189"/>
      <c r="F67" s="1190"/>
      <c r="O67" s="1896" t="s">
        <v>1039</v>
      </c>
      <c r="P67" s="1887" t="s">
        <v>1558</v>
      </c>
      <c r="Q67" s="1935">
        <f ca="1">L51</f>
        <v>0</v>
      </c>
      <c r="R67" s="1888" t="s">
        <v>1578</v>
      </c>
    </row>
    <row r="68" spans="1:18" s="1844" customFormat="1" ht="16.5" thickBot="1">
      <c r="A68" s="1168" t="s">
        <v>1029</v>
      </c>
      <c r="B68" s="1169" t="s">
        <v>1481</v>
      </c>
      <c r="C68" s="345" t="e">
        <f ca="1">ROUND(C67*(1-((1+F70)/(1+F68))^F69)/(F68-F70),0)</f>
        <v>#DIV/0!</v>
      </c>
      <c r="D68" s="1186" t="s">
        <v>1465</v>
      </c>
      <c r="E68" s="1171" t="s">
        <v>1466</v>
      </c>
      <c r="F68" s="356">
        <f ca="1">F40</f>
        <v>0</v>
      </c>
      <c r="O68" s="1896" t="s">
        <v>1040</v>
      </c>
      <c r="P68" s="1936" t="s">
        <v>1579</v>
      </c>
      <c r="Q68" s="1888">
        <f ca="1">ROUND(Q69-Q70*Q71,0)</f>
        <v>0</v>
      </c>
      <c r="R68" s="1888" t="s">
        <v>1048</v>
      </c>
    </row>
    <row r="69" spans="1:18" s="1844" customFormat="1" ht="13.5" thickBot="1">
      <c r="A69" s="1172"/>
      <c r="B69" s="1173"/>
      <c r="C69" s="350"/>
      <c r="D69" s="1191" t="s">
        <v>1469</v>
      </c>
      <c r="E69" s="1171" t="s">
        <v>1470</v>
      </c>
      <c r="F69" s="378">
        <f ca="1">F41</f>
        <v>0</v>
      </c>
      <c r="O69" s="1896" t="s">
        <v>1045</v>
      </c>
      <c r="P69" s="1936" t="s">
        <v>1580</v>
      </c>
      <c r="Q69" s="1888">
        <f ca="1">C39</f>
        <v>0</v>
      </c>
      <c r="R69" s="1888" t="s">
        <v>1525</v>
      </c>
    </row>
    <row r="70" spans="1:18" s="1844" customFormat="1" ht="13.5" thickBot="1">
      <c r="A70" s="1175"/>
      <c r="B70" s="1176"/>
      <c r="C70" s="354"/>
      <c r="D70" s="1187"/>
      <c r="E70" s="1171" t="s">
        <v>1473</v>
      </c>
      <c r="F70" s="1277">
        <f ca="1">F42</f>
        <v>0</v>
      </c>
      <c r="O70" s="1896" t="s">
        <v>1046</v>
      </c>
      <c r="P70" s="1936" t="s">
        <v>1581</v>
      </c>
      <c r="Q70" s="1888">
        <f ca="1">C13</f>
        <v>0</v>
      </c>
      <c r="R70" s="1888" t="s">
        <v>1525</v>
      </c>
    </row>
    <row r="71" spans="1:18" s="1844" customFormat="1" ht="13.5" thickBot="1">
      <c r="A71" s="1192" t="s">
        <v>1030</v>
      </c>
      <c r="B71" s="1193" t="s">
        <v>1483</v>
      </c>
      <c r="C71" s="381" t="e">
        <f ca="1">ROUND(C68/F71,0)</f>
        <v>#DIV/0!</v>
      </c>
      <c r="D71" s="1194" t="s">
        <v>1484</v>
      </c>
      <c r="E71" s="1195" t="s">
        <v>1485</v>
      </c>
      <c r="F71" s="384">
        <f ca="1">F43</f>
        <v>0</v>
      </c>
      <c r="O71" s="1896" t="s">
        <v>1047</v>
      </c>
      <c r="P71" s="1936" t="s">
        <v>1582</v>
      </c>
      <c r="Q71" s="1899">
        <f ca="1">C76</f>
        <v>0</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5" t="s">
        <v>1502</v>
      </c>
      <c r="C75" s="386">
        <f ca="1">ROUND(C13*C76,0)</f>
        <v>0</v>
      </c>
      <c r="D75" s="1844"/>
      <c r="E75" s="1844"/>
      <c r="F75" s="1844"/>
      <c r="K75" s="1870"/>
      <c r="L75" s="1844"/>
      <c r="O75" s="1886" t="s">
        <v>1043</v>
      </c>
      <c r="P75" s="1887" t="s">
        <v>1545</v>
      </c>
      <c r="Q75" s="1888" t="e">
        <f ca="1">Q65+Q66</f>
        <v>#DIV/0!</v>
      </c>
      <c r="R75" s="1888" t="s">
        <v>1044</v>
      </c>
    </row>
    <row r="76" spans="1:18">
      <c r="B76" s="387" t="s">
        <v>1503</v>
      </c>
      <c r="C76" s="388">
        <f ca="1">INDIRECT("'数据-取费表'!j"&amp;$G$1)</f>
        <v>0</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2518</v>
      </c>
      <c r="B1" s="2563"/>
      <c r="C1" s="2563"/>
      <c r="D1" s="2563"/>
      <c r="E1" s="2564"/>
    </row>
    <row r="2" spans="1:6" ht="15.75">
      <c r="A2" s="2565" t="s">
        <v>2319</v>
      </c>
      <c r="B2" s="2566">
        <f ca="1">SUMIF(B6:B13,"&lt;&gt;#ref!",B6:B13)</f>
        <v>5431</v>
      </c>
      <c r="C2" s="2567" t="s">
        <v>2511</v>
      </c>
      <c r="D2" s="2568" t="s">
        <v>2512</v>
      </c>
      <c r="E2" s="2569">
        <f>SUM(E6:E13)</f>
        <v>17987.810000000001</v>
      </c>
    </row>
    <row r="3" spans="1:6" ht="15.75">
      <c r="A3" s="2565" t="s">
        <v>1391</v>
      </c>
      <c r="B3" s="2566">
        <f ca="1">ROUND(B2*10000/E2,0)</f>
        <v>3019</v>
      </c>
      <c r="C3" s="2567" t="s">
        <v>2519</v>
      </c>
      <c r="D3" s="2570"/>
      <c r="E3" s="2571"/>
    </row>
    <row r="4" spans="1:6" ht="15.75">
      <c r="A4" s="2572"/>
      <c r="B4" s="2570"/>
      <c r="C4" s="2570"/>
      <c r="D4" s="2570"/>
      <c r="E4" s="2571"/>
    </row>
    <row r="5" spans="1:6" ht="15">
      <c r="A5" s="2573" t="s">
        <v>2513</v>
      </c>
      <c r="B5" s="3209" t="s">
        <v>2514</v>
      </c>
      <c r="C5" s="3209"/>
      <c r="D5" s="2574"/>
      <c r="E5" s="2575" t="s">
        <v>2515</v>
      </c>
      <c r="F5" s="2576" t="s">
        <v>2516</v>
      </c>
    </row>
    <row r="6" spans="1:6">
      <c r="A6" s="2577" t="str">
        <f>'数据-取费表'!AN6</f>
        <v>收益法</v>
      </c>
      <c r="B6" s="2576">
        <f ca="1">IF(F6="是",'数据-取费表'!AO6,0)</f>
        <v>5431</v>
      </c>
      <c r="C6" s="2567" t="s">
        <v>2511</v>
      </c>
      <c r="D6" s="2570"/>
      <c r="E6" s="2578">
        <f>IF(OR(A6=0,F6="否"),0,'数据-取费表'!K6+'数据-取费表'!S6)</f>
        <v>17987.810000000001</v>
      </c>
      <c r="F6" s="2579" t="s">
        <v>2517</v>
      </c>
    </row>
    <row r="7" spans="1:6">
      <c r="A7" s="2577">
        <f>'数据-取费表'!AN7</f>
        <v>0</v>
      </c>
      <c r="B7" s="2576" t="e">
        <f ca="1">IF(F7="是",'数据-取费表'!AO7,0)</f>
        <v>#REF!</v>
      </c>
      <c r="C7" s="2567" t="s">
        <v>2511</v>
      </c>
      <c r="D7" s="2570"/>
      <c r="E7" s="2578">
        <f>IF(OR(A7=0,F7="否"),0,'数据-取费表'!K7+'数据-取费表'!S7)</f>
        <v>0</v>
      </c>
      <c r="F7" s="2579" t="s">
        <v>2517</v>
      </c>
    </row>
    <row r="8" spans="1:6">
      <c r="A8" s="2577">
        <f>'数据-取费表'!AN8</f>
        <v>0</v>
      </c>
      <c r="B8" s="2576" t="e">
        <f ca="1">IF(F8="是",'数据-取费表'!AO8,0)</f>
        <v>#REF!</v>
      </c>
      <c r="C8" s="2567" t="s">
        <v>2511</v>
      </c>
      <c r="D8" s="2570"/>
      <c r="E8" s="2578">
        <f>IF(OR(A8=0,F8="否"),0,'数据-取费表'!K8+'数据-取费表'!S8)</f>
        <v>0</v>
      </c>
      <c r="F8" s="2579" t="s">
        <v>2517</v>
      </c>
    </row>
    <row r="9" spans="1:6">
      <c r="A9" s="2577">
        <f>'数据-取费表'!AN9</f>
        <v>0</v>
      </c>
      <c r="B9" s="2576" t="e">
        <f ca="1">IF(F9="是",'数据-取费表'!AO9,0)</f>
        <v>#REF!</v>
      </c>
      <c r="C9" s="2567" t="s">
        <v>2511</v>
      </c>
      <c r="D9" s="2570"/>
      <c r="E9" s="2578">
        <f>IF(OR(A9=0,F9="否"),0,'数据-取费表'!K9+'数据-取费表'!S9)</f>
        <v>0</v>
      </c>
      <c r="F9" s="2579" t="s">
        <v>2517</v>
      </c>
    </row>
    <row r="10" spans="1:6">
      <c r="A10" s="2577">
        <f>'数据-取费表'!AN10</f>
        <v>0</v>
      </c>
      <c r="B10" s="2576" t="e">
        <f ca="1">IF(F10="是",'数据-取费表'!AO10,0)</f>
        <v>#REF!</v>
      </c>
      <c r="C10" s="2567" t="s">
        <v>2511</v>
      </c>
      <c r="D10" s="2570"/>
      <c r="E10" s="2578">
        <f>IF(OR(A10=0,F10="否"),0,'数据-取费表'!K10+'数据-取费表'!S10)</f>
        <v>0</v>
      </c>
      <c r="F10" s="2579" t="s">
        <v>2517</v>
      </c>
    </row>
    <row r="11" spans="1:6">
      <c r="A11" s="2577">
        <f>'数据-取费表'!AN11</f>
        <v>0</v>
      </c>
      <c r="B11" s="2576" t="e">
        <f ca="1">IF(F11="是",'数据-取费表'!AO11,0)</f>
        <v>#REF!</v>
      </c>
      <c r="C11" s="2567" t="s">
        <v>2511</v>
      </c>
      <c r="D11" s="2570"/>
      <c r="E11" s="2578">
        <f>IF(OR(A11=0,F11="否"),0,'数据-取费表'!K11+'数据-取费表'!S11)</f>
        <v>0</v>
      </c>
      <c r="F11" s="2579" t="s">
        <v>2517</v>
      </c>
    </row>
    <row r="12" spans="1:6">
      <c r="A12" s="2577">
        <f>'数据-取费表'!AN12</f>
        <v>0</v>
      </c>
      <c r="B12" s="2576" t="e">
        <f ca="1">IF(F12="是",'数据-取费表'!AO12,0)</f>
        <v>#REF!</v>
      </c>
      <c r="C12" s="2567" t="s">
        <v>2511</v>
      </c>
      <c r="D12" s="2570"/>
      <c r="E12" s="2578">
        <f>IF(OR(A12=0,F12="否"),0,'数据-取费表'!K12+'数据-取费表'!S12)</f>
        <v>0</v>
      </c>
      <c r="F12" s="2579" t="s">
        <v>2517</v>
      </c>
    </row>
    <row r="13" spans="1:6" ht="15" thickBot="1">
      <c r="A13" s="2580">
        <f>'数据-取费表'!AN13</f>
        <v>0</v>
      </c>
      <c r="B13" s="2576" t="e">
        <f ca="1">IF(F13="是",'数据-取费表'!AO13,0)</f>
        <v>#REF!</v>
      </c>
      <c r="C13" s="2581" t="s">
        <v>2511</v>
      </c>
      <c r="D13" s="2582"/>
      <c r="E13" s="2578">
        <f>IF(OR(A13=0,F13="否"),0,'数据-取费表'!K13+'数据-取费表'!S13)</f>
        <v>0</v>
      </c>
      <c r="F13" s="2579"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6" t="s">
        <v>1073</v>
      </c>
      <c r="B1" s="3227"/>
      <c r="C1" s="3228"/>
      <c r="D1" s="3229">
        <f>SUM(I10,I15,I20,I21,I23)</f>
        <v>0</v>
      </c>
      <c r="E1" s="3229"/>
      <c r="F1" s="3229"/>
      <c r="G1" s="3229"/>
      <c r="H1" s="3229"/>
      <c r="I1" s="3230"/>
    </row>
    <row r="2" spans="1:9">
      <c r="A2" s="3216" t="s">
        <v>1074</v>
      </c>
      <c r="B2" s="3217" t="s">
        <v>1075</v>
      </c>
      <c r="C2" s="3217"/>
      <c r="D2" s="1303" t="s">
        <v>1076</v>
      </c>
      <c r="E2" s="1303" t="s">
        <v>1077</v>
      </c>
      <c r="F2" s="1303" t="s">
        <v>1078</v>
      </c>
      <c r="G2" s="1303" t="s">
        <v>1079</v>
      </c>
      <c r="H2" s="1303" t="s">
        <v>1080</v>
      </c>
      <c r="I2" s="1304" t="s">
        <v>1081</v>
      </c>
    </row>
    <row r="3" spans="1:9">
      <c r="A3" s="3216"/>
      <c r="B3" s="3217" t="s">
        <v>1082</v>
      </c>
      <c r="C3" s="3217"/>
      <c r="D3" s="1305"/>
      <c r="E3" s="1303"/>
      <c r="F3" s="1306"/>
      <c r="G3" s="1306"/>
      <c r="H3" s="1307"/>
      <c r="I3" s="1308">
        <f>ROUND(D3*E3*F3*G3*H3/10000,0)</f>
        <v>0</v>
      </c>
    </row>
    <row r="4" spans="1:9">
      <c r="A4" s="3216"/>
      <c r="B4" s="3217" t="s">
        <v>1083</v>
      </c>
      <c r="C4" s="3217"/>
      <c r="D4" s="1305"/>
      <c r="E4" s="1303"/>
      <c r="F4" s="1306"/>
      <c r="G4" s="1306"/>
      <c r="H4" s="1307"/>
      <c r="I4" s="1308">
        <f t="shared" ref="I4:I9" si="0">ROUND(D4*E4*F4*G4*H4/10000,0)</f>
        <v>0</v>
      </c>
    </row>
    <row r="5" spans="1:9">
      <c r="A5" s="3216"/>
      <c r="B5" s="3217" t="s">
        <v>1084</v>
      </c>
      <c r="C5" s="3217"/>
      <c r="D5" s="1305"/>
      <c r="E5" s="1303"/>
      <c r="F5" s="1306"/>
      <c r="G5" s="1306"/>
      <c r="H5" s="1307"/>
      <c r="I5" s="1308">
        <f t="shared" si="0"/>
        <v>0</v>
      </c>
    </row>
    <row r="6" spans="1:9">
      <c r="A6" s="3216"/>
      <c r="B6" s="3217" t="s">
        <v>1085</v>
      </c>
      <c r="C6" s="3217"/>
      <c r="D6" s="1305"/>
      <c r="E6" s="1303"/>
      <c r="F6" s="1306"/>
      <c r="G6" s="1306"/>
      <c r="H6" s="1307"/>
      <c r="I6" s="1308">
        <f t="shared" si="0"/>
        <v>0</v>
      </c>
    </row>
    <row r="7" spans="1:9">
      <c r="A7" s="3216"/>
      <c r="B7" s="3217" t="s">
        <v>1086</v>
      </c>
      <c r="C7" s="3217"/>
      <c r="D7" s="1305"/>
      <c r="E7" s="1303"/>
      <c r="F7" s="1306"/>
      <c r="G7" s="1306"/>
      <c r="H7" s="1307"/>
      <c r="I7" s="1308">
        <f t="shared" si="0"/>
        <v>0</v>
      </c>
    </row>
    <row r="8" spans="1:9">
      <c r="A8" s="3216"/>
      <c r="B8" s="3217" t="s">
        <v>1087</v>
      </c>
      <c r="C8" s="3217"/>
      <c r="D8" s="1305"/>
      <c r="E8" s="1303"/>
      <c r="F8" s="1306"/>
      <c r="G8" s="1306"/>
      <c r="H8" s="1307"/>
      <c r="I8" s="1308">
        <f t="shared" si="0"/>
        <v>0</v>
      </c>
    </row>
    <row r="9" spans="1:9">
      <c r="A9" s="3216"/>
      <c r="B9" s="3217" t="s">
        <v>1088</v>
      </c>
      <c r="C9" s="3217"/>
      <c r="D9" s="1305"/>
      <c r="E9" s="1303"/>
      <c r="F9" s="1306"/>
      <c r="G9" s="1306"/>
      <c r="H9" s="1307"/>
      <c r="I9" s="1308">
        <f t="shared" si="0"/>
        <v>0</v>
      </c>
    </row>
    <row r="10" spans="1:9">
      <c r="A10" s="3216"/>
      <c r="B10" s="3218" t="s">
        <v>1089</v>
      </c>
      <c r="C10" s="3218"/>
      <c r="D10" s="1309"/>
      <c r="E10" s="1309" t="e">
        <f>ROUND(D1*10000/D10/H9,0)</f>
        <v>#DIV/0!</v>
      </c>
      <c r="F10" s="1310"/>
      <c r="G10" s="1310"/>
      <c r="H10" s="1311"/>
      <c r="I10" s="1312">
        <f>SUM(I3:I9)</f>
        <v>0</v>
      </c>
    </row>
    <row r="11" spans="1:9" ht="14.25">
      <c r="A11" s="3216" t="s">
        <v>1090</v>
      </c>
      <c r="B11" s="3217" t="s">
        <v>1091</v>
      </c>
      <c r="C11" s="3217"/>
      <c r="D11" s="1305" t="s">
        <v>1092</v>
      </c>
      <c r="E11" s="1305" t="s">
        <v>1093</v>
      </c>
      <c r="F11" s="1306" t="s">
        <v>1094</v>
      </c>
      <c r="G11" s="1306" t="s">
        <v>1080</v>
      </c>
      <c r="H11" s="1313" t="s">
        <v>1095</v>
      </c>
      <c r="I11" s="1304" t="s">
        <v>1081</v>
      </c>
    </row>
    <row r="12" spans="1:9">
      <c r="A12" s="3216"/>
      <c r="B12" s="3217" t="s">
        <v>1096</v>
      </c>
      <c r="C12" s="3217"/>
      <c r="D12" s="1305"/>
      <c r="E12" s="1305"/>
      <c r="F12" s="1306"/>
      <c r="G12" s="1307"/>
      <c r="H12" s="1314"/>
      <c r="I12" s="1304">
        <f>ROUND(D12*E12*F12*G12/10000,0)</f>
        <v>0</v>
      </c>
    </row>
    <row r="13" spans="1:9">
      <c r="A13" s="3216"/>
      <c r="B13" s="3217" t="s">
        <v>1097</v>
      </c>
      <c r="C13" s="3217"/>
      <c r="D13" s="1305"/>
      <c r="E13" s="1305"/>
      <c r="F13" s="1306"/>
      <c r="G13" s="1307"/>
      <c r="H13" s="1314"/>
      <c r="I13" s="1304">
        <f>ROUND(D13*E13*F13*G13/10000,0)</f>
        <v>0</v>
      </c>
    </row>
    <row r="14" spans="1:9">
      <c r="A14" s="3216"/>
      <c r="B14" s="3217" t="s">
        <v>1098</v>
      </c>
      <c r="C14" s="3217"/>
      <c r="D14" s="1305"/>
      <c r="E14" s="1305"/>
      <c r="F14" s="1306"/>
      <c r="G14" s="1307"/>
      <c r="H14" s="1314"/>
      <c r="I14" s="1304">
        <f>ROUND(D14*E14*F14*G14/10000,0)</f>
        <v>0</v>
      </c>
    </row>
    <row r="15" spans="1:9">
      <c r="A15" s="3216"/>
      <c r="B15" s="3218" t="s">
        <v>1089</v>
      </c>
      <c r="C15" s="3218"/>
      <c r="D15" s="1309"/>
      <c r="E15" s="1309">
        <f>SUM(E12:E14)</f>
        <v>0</v>
      </c>
      <c r="F15" s="1310"/>
      <c r="G15" s="1307"/>
      <c r="H15" s="1314"/>
      <c r="I15" s="1315">
        <f>SUM(I12:I14)</f>
        <v>0</v>
      </c>
    </row>
    <row r="16" spans="1:9" ht="24">
      <c r="A16" s="3216" t="s">
        <v>1099</v>
      </c>
      <c r="B16" s="3217" t="s">
        <v>1100</v>
      </c>
      <c r="C16" s="3217"/>
      <c r="D16" s="1305" t="s">
        <v>1076</v>
      </c>
      <c r="E16" s="1316" t="s">
        <v>1101</v>
      </c>
      <c r="F16" s="1306" t="s">
        <v>1102</v>
      </c>
      <c r="G16" s="1307" t="s">
        <v>1080</v>
      </c>
      <c r="H16" s="1313" t="s">
        <v>1095</v>
      </c>
      <c r="I16" s="1304" t="s">
        <v>1081</v>
      </c>
    </row>
    <row r="17" spans="1:9" ht="14.25">
      <c r="A17" s="3216"/>
      <c r="B17" s="3217" t="s">
        <v>1103</v>
      </c>
      <c r="C17" s="3217"/>
      <c r="D17" s="1305"/>
      <c r="E17" s="1305"/>
      <c r="F17" s="1306"/>
      <c r="G17" s="1307"/>
      <c r="H17" s="1317"/>
      <c r="I17" s="1318">
        <f>ROUND(D17*E17*F17*G17/10000,0)</f>
        <v>0</v>
      </c>
    </row>
    <row r="18" spans="1:9" ht="14.25">
      <c r="A18" s="3216"/>
      <c r="B18" s="3217" t="s">
        <v>1104</v>
      </c>
      <c r="C18" s="3217"/>
      <c r="D18" s="1305"/>
      <c r="E18" s="1305"/>
      <c r="F18" s="1306"/>
      <c r="G18" s="1307"/>
      <c r="H18" s="1317"/>
      <c r="I18" s="1318">
        <f>ROUND(D18*E18*F18*G18/10000,0)</f>
        <v>0</v>
      </c>
    </row>
    <row r="19" spans="1:9" ht="14.25">
      <c r="A19" s="3216"/>
      <c r="B19" s="3217" t="s">
        <v>1105</v>
      </c>
      <c r="C19" s="3217"/>
      <c r="D19" s="1305"/>
      <c r="E19" s="1305"/>
      <c r="F19" s="1306"/>
      <c r="G19" s="1307"/>
      <c r="H19" s="1317"/>
      <c r="I19" s="1318">
        <f>ROUND(D19*E19*F19*G19/10000,0)</f>
        <v>0</v>
      </c>
    </row>
    <row r="20" spans="1:9">
      <c r="A20" s="3216"/>
      <c r="B20" s="3218" t="s">
        <v>1089</v>
      </c>
      <c r="C20" s="3218"/>
      <c r="D20" s="1309">
        <f>SUM(D17:D19)</f>
        <v>0</v>
      </c>
      <c r="E20" s="1309"/>
      <c r="F20" s="1310"/>
      <c r="G20" s="1307"/>
      <c r="H20" s="1314"/>
      <c r="I20" s="1315">
        <f>SUM(I17:I19)</f>
        <v>0</v>
      </c>
    </row>
    <row r="21" spans="1:9">
      <c r="A21" s="3216" t="s">
        <v>1106</v>
      </c>
      <c r="B21" s="3219"/>
      <c r="C21" s="3219"/>
      <c r="D21" s="3219"/>
      <c r="E21" s="3219"/>
      <c r="F21" s="3219"/>
      <c r="G21" s="3219"/>
      <c r="H21" s="1767">
        <v>0.1</v>
      </c>
      <c r="I21" s="1312">
        <f>ROUND(I10*H21,0)</f>
        <v>0</v>
      </c>
    </row>
    <row r="22" spans="1:9" ht="14.25">
      <c r="A22" s="3220" t="s">
        <v>1107</v>
      </c>
      <c r="B22" s="3221"/>
      <c r="C22" s="3222"/>
      <c r="D22" s="1319" t="s">
        <v>1108</v>
      </c>
      <c r="E22" s="1319" t="s">
        <v>1109</v>
      </c>
      <c r="F22" s="1320" t="s">
        <v>1110</v>
      </c>
      <c r="G22" s="1320" t="s">
        <v>1111</v>
      </c>
      <c r="H22" s="1313" t="s">
        <v>1112</v>
      </c>
      <c r="I22" s="1304" t="s">
        <v>1113</v>
      </c>
    </row>
    <row r="23" spans="1:9" ht="14.25" thickBot="1">
      <c r="A23" s="3223"/>
      <c r="B23" s="3224"/>
      <c r="C23" s="3225"/>
      <c r="D23" s="1321"/>
      <c r="E23" s="1321"/>
      <c r="F23" s="1321"/>
      <c r="G23" s="1322"/>
      <c r="H23" s="1323"/>
      <c r="I23" s="1324">
        <f>ROUND(E23*D23*F23*(1-G23)/10000,0)</f>
        <v>0</v>
      </c>
    </row>
    <row r="26" spans="1:9">
      <c r="A26" s="1325" t="s">
        <v>1114</v>
      </c>
      <c r="B26" s="1325"/>
      <c r="C26" s="1325"/>
      <c r="D26" s="1325"/>
      <c r="E26" s="3213">
        <f>C27-C30-C31-C32</f>
        <v>0</v>
      </c>
      <c r="F26" s="3213"/>
      <c r="G26" s="3213"/>
      <c r="H26" s="1739" t="s">
        <v>1336</v>
      </c>
    </row>
    <row r="27" spans="1:9">
      <c r="A27" s="1326">
        <v>1</v>
      </c>
      <c r="B27" s="1327" t="s">
        <v>1115</v>
      </c>
      <c r="C27" s="1327">
        <f>C28+C29</f>
        <v>0</v>
      </c>
      <c r="D27" s="1327"/>
      <c r="E27" s="3214"/>
      <c r="F27" s="3214"/>
      <c r="G27" s="3214"/>
    </row>
    <row r="28" spans="1:9">
      <c r="A28" s="1328" t="s">
        <v>1116</v>
      </c>
      <c r="B28" s="1327" t="s">
        <v>1117</v>
      </c>
      <c r="C28" s="1327"/>
      <c r="D28" s="1327"/>
      <c r="E28" s="3214"/>
      <c r="F28" s="3214"/>
      <c r="G28" s="3214"/>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15"/>
      <c r="F32" s="3215"/>
      <c r="G32" s="3215"/>
    </row>
    <row r="33" spans="1:7" hidden="1">
      <c r="A33" s="3210" t="s">
        <v>1126</v>
      </c>
      <c r="B33" s="3211"/>
      <c r="C33" s="3211"/>
      <c r="D33" s="3212"/>
      <c r="E33" s="3213"/>
      <c r="F33" s="3213"/>
      <c r="G33" s="3213"/>
    </row>
    <row r="34" spans="1:7" hidden="1">
      <c r="A34" s="1330">
        <v>1</v>
      </c>
      <c r="B34" s="1327" t="s">
        <v>1127</v>
      </c>
      <c r="C34" s="1327"/>
      <c r="D34" s="1327"/>
      <c r="E34" s="3214"/>
      <c r="F34" s="3214"/>
      <c r="G34" s="3214"/>
    </row>
    <row r="35" spans="1:7" hidden="1">
      <c r="A35" s="1330">
        <v>2</v>
      </c>
      <c r="B35" s="1327" t="s">
        <v>1128</v>
      </c>
      <c r="C35" s="1327"/>
      <c r="D35" s="1327"/>
      <c r="E35" s="3214"/>
      <c r="F35" s="3214"/>
      <c r="G35" s="3214"/>
    </row>
    <row r="36" spans="1:7" hidden="1">
      <c r="A36" s="1330">
        <v>3</v>
      </c>
      <c r="B36" s="1327" t="s">
        <v>1129</v>
      </c>
      <c r="C36" s="1327"/>
      <c r="D36" s="1327"/>
      <c r="E36" s="3214"/>
      <c r="F36" s="3214"/>
      <c r="G36" s="3214"/>
    </row>
    <row r="37" spans="1:7" hidden="1">
      <c r="A37" s="1330">
        <v>4</v>
      </c>
      <c r="B37" s="1327" t="s">
        <v>1130</v>
      </c>
      <c r="C37" s="1327"/>
      <c r="D37" s="1327"/>
      <c r="E37" s="3214"/>
      <c r="F37" s="3214"/>
      <c r="G37" s="3214"/>
    </row>
    <row r="38" spans="1:7" hidden="1">
      <c r="A38" s="3210" t="s">
        <v>1131</v>
      </c>
      <c r="B38" s="3211"/>
      <c r="C38" s="3211"/>
      <c r="D38" s="3212"/>
      <c r="E38" s="3213"/>
      <c r="F38" s="3213"/>
      <c r="G38" s="32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2520</v>
      </c>
      <c r="B1" s="2583" t="s">
        <v>2521</v>
      </c>
      <c r="C1" s="1636" t="s">
        <v>2522</v>
      </c>
      <c r="D1" s="1623"/>
      <c r="E1" s="2584"/>
      <c r="F1" s="2585" t="s">
        <v>2523</v>
      </c>
      <c r="G1" s="1633" t="s">
        <v>2524</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1390</v>
      </c>
      <c r="B2" s="1420" t="e">
        <f ca="1">IF(C2="——",ROUND(C49*D3/10000,0),ROUND(C49*D3/10000,0)-D2)</f>
        <v>#DIV/0!</v>
      </c>
      <c r="C2" s="2587"/>
      <c r="D2" s="1367" t="e">
        <f ca="1">SUMIF(INDIRECT("'"&amp;F2&amp;"'"&amp;"!A:A"),"承租人权益价值",INDIRECT("'"&amp;F2&amp;"'"&amp;"!c:c"))</f>
        <v>#REF!</v>
      </c>
      <c r="E2" s="2588" t="s">
        <v>2525</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1391</v>
      </c>
      <c r="B3" s="398" t="e">
        <f ca="1">IF(C2="——",C49,ROUND(B2*10000/D3,0))</f>
        <v>#DIV/0!</v>
      </c>
      <c r="C3" s="399" t="s">
        <v>2526</v>
      </c>
      <c r="D3" s="398">
        <f>IF(D1="",'数据-汇总表'!E3,SUMIF('数据-汇总表'!$C19:$C33,D1,'数据-汇总表'!$E19:$E33))</f>
        <v>17987.810000000001</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2527</v>
      </c>
      <c r="B4" s="401"/>
      <c r="C4" s="3157" t="s">
        <v>2528</v>
      </c>
      <c r="D4" s="3185"/>
      <c r="E4" s="3186" t="s">
        <v>2529</v>
      </c>
      <c r="F4" s="3187"/>
      <c r="G4" s="3157" t="s">
        <v>2530</v>
      </c>
      <c r="H4" s="3185"/>
      <c r="I4" s="3157" t="s">
        <v>2531</v>
      </c>
      <c r="J4" s="3185"/>
      <c r="K4" s="2597" t="s">
        <v>2532</v>
      </c>
      <c r="L4" s="1132"/>
      <c r="M4" s="1133"/>
      <c r="N4" s="1133"/>
      <c r="O4" s="1133"/>
      <c r="P4" s="3188" t="s">
        <v>2533</v>
      </c>
      <c r="Q4" s="3189"/>
      <c r="R4" s="3164" t="s">
        <v>2529</v>
      </c>
      <c r="S4" s="3165"/>
      <c r="T4" s="3164" t="s">
        <v>2530</v>
      </c>
      <c r="U4" s="3165"/>
      <c r="V4" s="3178" t="s">
        <v>2531</v>
      </c>
      <c r="W4" s="3178"/>
      <c r="X4" s="1815"/>
      <c r="Y4" s="3164" t="s">
        <v>2533</v>
      </c>
      <c r="Z4" s="3165"/>
      <c r="AA4" s="3182" t="s">
        <v>2529</v>
      </c>
      <c r="AB4" s="3182" t="s">
        <v>2530</v>
      </c>
      <c r="AC4" s="3182" t="s">
        <v>2531</v>
      </c>
    </row>
    <row r="5" spans="1:29" ht="15">
      <c r="A5" s="403"/>
      <c r="B5" s="404"/>
      <c r="C5" s="3168" t="s">
        <v>2534</v>
      </c>
      <c r="D5" s="3169"/>
      <c r="E5" s="3194" t="s">
        <v>2535</v>
      </c>
      <c r="F5" s="3195"/>
      <c r="G5" s="3168" t="s">
        <v>2536</v>
      </c>
      <c r="H5" s="3169"/>
      <c r="I5" s="3168" t="s">
        <v>2537</v>
      </c>
      <c r="J5" s="3169"/>
      <c r="K5" s="2598"/>
      <c r="L5" s="1132"/>
      <c r="M5" s="1133"/>
      <c r="N5" s="1133"/>
      <c r="O5" s="1133"/>
      <c r="P5" s="3190"/>
      <c r="Q5" s="3191"/>
      <c r="R5" s="3166"/>
      <c r="S5" s="3167"/>
      <c r="T5" s="3166"/>
      <c r="U5" s="3167"/>
      <c r="V5" s="3178"/>
      <c r="W5" s="3178"/>
      <c r="X5" s="1815"/>
      <c r="Y5" s="3166"/>
      <c r="Z5" s="3167"/>
      <c r="AA5" s="3183"/>
      <c r="AB5" s="3183"/>
      <c r="AC5" s="3183"/>
    </row>
    <row r="6" spans="1:29" ht="15.75" thickBot="1">
      <c r="A6" s="405"/>
      <c r="B6" s="406"/>
      <c r="C6" s="3239" t="s">
        <v>2538</v>
      </c>
      <c r="D6" s="3240"/>
      <c r="E6" s="3241" t="s">
        <v>2538</v>
      </c>
      <c r="F6" s="3242"/>
      <c r="G6" s="3239" t="s">
        <v>2538</v>
      </c>
      <c r="H6" s="3240"/>
      <c r="I6" s="3239" t="s">
        <v>2538</v>
      </c>
      <c r="J6" s="3240"/>
      <c r="K6" s="2598" t="s">
        <v>2539</v>
      </c>
      <c r="L6" s="1132"/>
      <c r="M6" s="1133"/>
      <c r="N6" s="1133"/>
      <c r="O6" s="1133"/>
      <c r="P6" s="3192"/>
      <c r="Q6" s="3193"/>
      <c r="R6" s="3166"/>
      <c r="S6" s="3167"/>
      <c r="T6" s="3176"/>
      <c r="U6" s="3177"/>
      <c r="V6" s="3178"/>
      <c r="W6" s="3178"/>
      <c r="X6" s="1815"/>
      <c r="Y6" s="3176"/>
      <c r="Z6" s="3177"/>
      <c r="AA6" s="3184"/>
      <c r="AB6" s="3184"/>
      <c r="AC6" s="3184"/>
    </row>
    <row r="7" spans="1:29" s="116" customFormat="1" ht="15.75" thickBot="1">
      <c r="A7" s="407" t="s">
        <v>2540</v>
      </c>
      <c r="B7" s="408"/>
      <c r="C7" s="409">
        <f>'数据-取费表'!B2</f>
        <v>43487</v>
      </c>
      <c r="D7" s="410">
        <v>100</v>
      </c>
      <c r="E7" s="411"/>
      <c r="F7" s="412">
        <f>SUMIF(58:58,YEAR(E7)&amp;"-"&amp;MONTH(E7),59:59)</f>
        <v>0</v>
      </c>
      <c r="G7" s="411"/>
      <c r="H7" s="410">
        <f>SUMIF(58:58,YEAR(G7)&amp;"-"&amp;MONTH(G7),59:59)</f>
        <v>0</v>
      </c>
      <c r="I7" s="411"/>
      <c r="J7" s="410">
        <f>SUMIF(58:58,YEAR(I7)&amp;"-"&amp;MONTH(I7),59:59)</f>
        <v>0</v>
      </c>
      <c r="K7" s="2599"/>
      <c r="L7" s="1134"/>
      <c r="M7" s="1135"/>
      <c r="N7" s="1135"/>
      <c r="O7" s="1135"/>
      <c r="P7" s="3162" t="s">
        <v>2541</v>
      </c>
      <c r="Q7" s="3172"/>
      <c r="R7" s="769" t="s">
        <v>23</v>
      </c>
      <c r="S7" s="770">
        <f t="shared" ref="S7:S15" si="0">F7</f>
        <v>0</v>
      </c>
      <c r="T7" s="769" t="s">
        <v>23</v>
      </c>
      <c r="U7" s="770">
        <f t="shared" ref="U7:U15" si="1">H7</f>
        <v>0</v>
      </c>
      <c r="V7" s="769" t="s">
        <v>23</v>
      </c>
      <c r="W7" s="770">
        <f t="shared" ref="W7:W15" si="2">J7</f>
        <v>0</v>
      </c>
      <c r="X7" s="771"/>
      <c r="Y7" s="3162" t="s">
        <v>2541</v>
      </c>
      <c r="Z7" s="3163"/>
      <c r="AA7" s="772" t="e">
        <f>D7/F7</f>
        <v>#DIV/0!</v>
      </c>
      <c r="AB7" s="772" t="e">
        <f>D7/H7</f>
        <v>#DIV/0!</v>
      </c>
      <c r="AC7" s="772" t="e">
        <f>D7/J7</f>
        <v>#DIV/0!</v>
      </c>
    </row>
    <row r="8" spans="1:29" s="116" customFormat="1" ht="15.75" thickBot="1">
      <c r="A8" s="407" t="s">
        <v>2542</v>
      </c>
      <c r="B8" s="408"/>
      <c r="C8" s="413" t="s">
        <v>2543</v>
      </c>
      <c r="D8" s="410">
        <v>100</v>
      </c>
      <c r="E8" s="2600"/>
      <c r="F8" s="412">
        <f>SUMIF(61:61,E8,62:62)-SUMIF(61:61,C8,62:62)+100</f>
        <v>0</v>
      </c>
      <c r="G8" s="413"/>
      <c r="H8" s="410">
        <f>SUMIF(61:61,G8,62:62)-SUMIF(61:61,C8,62:62)+100</f>
        <v>0</v>
      </c>
      <c r="I8" s="2600"/>
      <c r="J8" s="410">
        <f>SUMIF(61:61,I8,62:62)-SUMIF(61:61,C8,62:62)+100</f>
        <v>0</v>
      </c>
      <c r="K8" s="2599"/>
      <c r="L8" s="1134"/>
      <c r="M8" s="1135"/>
      <c r="N8" s="1135"/>
      <c r="O8" s="1135"/>
      <c r="P8" s="3162" t="s">
        <v>2544</v>
      </c>
      <c r="Q8" s="3163"/>
      <c r="R8" s="769" t="s">
        <v>23</v>
      </c>
      <c r="S8" s="770">
        <f t="shared" si="0"/>
        <v>0</v>
      </c>
      <c r="T8" s="769" t="s">
        <v>23</v>
      </c>
      <c r="U8" s="770">
        <f t="shared" si="1"/>
        <v>0</v>
      </c>
      <c r="V8" s="769" t="s">
        <v>23</v>
      </c>
      <c r="W8" s="770">
        <f t="shared" si="2"/>
        <v>0</v>
      </c>
      <c r="X8" s="771"/>
      <c r="Y8" s="3162" t="s">
        <v>2544</v>
      </c>
      <c r="Z8" s="3163"/>
      <c r="AA8" s="772" t="e">
        <f t="shared" ref="AA8:AA19" si="3">D8/F8</f>
        <v>#DIV/0!</v>
      </c>
      <c r="AB8" s="772" t="e">
        <f t="shared" ref="AB8:AB19" si="4">D8/H8</f>
        <v>#DIV/0!</v>
      </c>
      <c r="AC8" s="772" t="e">
        <f t="shared" ref="AC8:AC19" si="5">D8/J8</f>
        <v>#DIV/0!</v>
      </c>
    </row>
    <row r="9" spans="1:29" s="116" customFormat="1">
      <c r="A9" s="414" t="s">
        <v>2545</v>
      </c>
      <c r="B9" s="71" t="s">
        <v>2546</v>
      </c>
      <c r="C9" s="415"/>
      <c r="D9" s="134">
        <v>100</v>
      </c>
      <c r="E9" s="416"/>
      <c r="F9" s="417">
        <f>SUMIF(63:63,E9,64:64)-SUMIF(63:63,C9,64:64)+100</f>
        <v>100</v>
      </c>
      <c r="G9" s="418"/>
      <c r="H9" s="134">
        <f>SUMIF(63:63,G9,64:64)-SUMIF(63:63,C9,64:64)+100</f>
        <v>100</v>
      </c>
      <c r="I9" s="418"/>
      <c r="J9" s="134">
        <f>SUMIF(63:63,I9,64:64)-SUMIF(63:63,C9,64:64)+100</f>
        <v>100</v>
      </c>
      <c r="K9" s="2599"/>
      <c r="L9" s="1134"/>
      <c r="M9" s="1135"/>
      <c r="N9" s="1135"/>
      <c r="O9" s="1135"/>
      <c r="P9" s="3159" t="s">
        <v>2547</v>
      </c>
      <c r="Q9" s="1797" t="str">
        <f t="shared" ref="Q9:Q15" si="6">B9</f>
        <v>用途</v>
      </c>
      <c r="R9" s="769" t="s">
        <v>17</v>
      </c>
      <c r="S9" s="770">
        <f t="shared" si="0"/>
        <v>100</v>
      </c>
      <c r="T9" s="769" t="s">
        <v>17</v>
      </c>
      <c r="U9" s="770">
        <f t="shared" si="1"/>
        <v>100</v>
      </c>
      <c r="V9" s="769" t="s">
        <v>17</v>
      </c>
      <c r="W9" s="770">
        <f t="shared" si="2"/>
        <v>100</v>
      </c>
      <c r="X9" s="771"/>
      <c r="Y9" s="3015"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59"/>
      <c r="Q10" s="1797"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59"/>
      <c r="Q11" s="1797" t="str">
        <f t="shared" si="6"/>
        <v>容积率</v>
      </c>
      <c r="R11" s="769" t="s">
        <v>21</v>
      </c>
      <c r="S11" s="770" t="e">
        <f t="shared" si="0"/>
        <v>#N/A</v>
      </c>
      <c r="T11" s="769" t="s">
        <v>21</v>
      </c>
      <c r="U11" s="770" t="e">
        <f t="shared" si="1"/>
        <v>#N/A</v>
      </c>
      <c r="V11" s="769" t="s">
        <v>21</v>
      </c>
      <c r="W11" s="770" t="e">
        <f t="shared" si="2"/>
        <v>#N/A</v>
      </c>
      <c r="X11" s="771"/>
      <c r="Y11" s="3015"/>
      <c r="Z11" s="55" t="str">
        <f t="shared" si="7"/>
        <v>容积率</v>
      </c>
      <c r="AA11" s="772" t="e">
        <f t="shared" si="3"/>
        <v>#N/A</v>
      </c>
      <c r="AB11" s="772" t="e">
        <f t="shared" si="4"/>
        <v>#N/A</v>
      </c>
      <c r="AC11" s="772" t="e">
        <f t="shared" si="5"/>
        <v>#N/A</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159"/>
      <c r="Q12" s="1797">
        <f t="shared" si="6"/>
        <v>111</v>
      </c>
      <c r="R12" s="769" t="s">
        <v>21</v>
      </c>
      <c r="S12" s="770">
        <f t="shared" si="0"/>
        <v>100</v>
      </c>
      <c r="T12" s="769" t="s">
        <v>21</v>
      </c>
      <c r="U12" s="770">
        <f t="shared" si="1"/>
        <v>100</v>
      </c>
      <c r="V12" s="769" t="s">
        <v>21</v>
      </c>
      <c r="W12" s="770">
        <f t="shared" si="2"/>
        <v>100</v>
      </c>
      <c r="X12" s="771"/>
      <c r="Y12" s="3015"/>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159"/>
      <c r="Q13" s="1797">
        <f t="shared" si="6"/>
        <v>111</v>
      </c>
      <c r="R13" s="769" t="s">
        <v>21</v>
      </c>
      <c r="S13" s="770">
        <f t="shared" si="0"/>
        <v>100</v>
      </c>
      <c r="T13" s="769" t="s">
        <v>21</v>
      </c>
      <c r="U13" s="770">
        <f t="shared" si="1"/>
        <v>100</v>
      </c>
      <c r="V13" s="769" t="s">
        <v>21</v>
      </c>
      <c r="W13" s="770">
        <f t="shared" si="2"/>
        <v>100</v>
      </c>
      <c r="X13" s="771"/>
      <c r="Y13" s="3015"/>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159"/>
      <c r="Q14" s="1797">
        <f t="shared" si="6"/>
        <v>111</v>
      </c>
      <c r="R14" s="769" t="s">
        <v>21</v>
      </c>
      <c r="S14" s="770">
        <f t="shared" si="0"/>
        <v>100</v>
      </c>
      <c r="T14" s="769" t="s">
        <v>21</v>
      </c>
      <c r="U14" s="770">
        <f t="shared" si="1"/>
        <v>100</v>
      </c>
      <c r="V14" s="769" t="s">
        <v>21</v>
      </c>
      <c r="W14" s="770">
        <f t="shared" si="2"/>
        <v>100</v>
      </c>
      <c r="X14" s="771"/>
      <c r="Y14" s="3015"/>
      <c r="Z14" s="55">
        <f t="shared" si="7"/>
        <v>111</v>
      </c>
      <c r="AA14" s="772">
        <f t="shared" si="3"/>
        <v>1</v>
      </c>
      <c r="AB14" s="772">
        <f t="shared" si="4"/>
        <v>1</v>
      </c>
      <c r="AC14" s="772">
        <f t="shared" si="5"/>
        <v>1</v>
      </c>
    </row>
    <row r="15" spans="1:29" ht="99.75">
      <c r="A15" s="439" t="s">
        <v>2551</v>
      </c>
      <c r="B15" s="69" t="s">
        <v>2078</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37" t="s">
        <v>2552</v>
      </c>
      <c r="Q15" s="1812" t="str">
        <f t="shared" si="6"/>
        <v>居住社区成熟度</v>
      </c>
      <c r="R15" s="773" t="s">
        <v>21</v>
      </c>
      <c r="S15" s="774">
        <f t="shared" si="0"/>
        <v>100</v>
      </c>
      <c r="T15" s="773" t="s">
        <v>21</v>
      </c>
      <c r="U15" s="774">
        <f t="shared" si="1"/>
        <v>100</v>
      </c>
      <c r="V15" s="773" t="s">
        <v>21</v>
      </c>
      <c r="W15" s="774">
        <f t="shared" si="2"/>
        <v>100</v>
      </c>
      <c r="X15" s="1815"/>
      <c r="Y15" s="3179" t="s">
        <v>2552</v>
      </c>
      <c r="Z15" s="1816" t="str">
        <f t="shared" si="7"/>
        <v>居住社区成熟度</v>
      </c>
      <c r="AA15" s="1813">
        <f t="shared" si="3"/>
        <v>1</v>
      </c>
      <c r="AB15" s="1813">
        <f t="shared" si="4"/>
        <v>1</v>
      </c>
      <c r="AC15" s="1813">
        <f t="shared" si="5"/>
        <v>1</v>
      </c>
    </row>
    <row r="16" spans="1:29" ht="15">
      <c r="A16" s="427"/>
      <c r="B16" s="445"/>
      <c r="C16" s="446"/>
      <c r="D16" s="447"/>
      <c r="E16" s="2605"/>
      <c r="F16" s="447"/>
      <c r="G16" s="2606"/>
      <c r="H16" s="449"/>
      <c r="I16" s="2606"/>
      <c r="J16" s="447"/>
      <c r="K16" s="2607"/>
      <c r="L16" s="1142"/>
      <c r="M16" s="1133"/>
      <c r="N16" s="1133"/>
      <c r="O16" s="1133"/>
      <c r="P16" s="3238"/>
      <c r="Q16" s="1812"/>
      <c r="R16" s="773"/>
      <c r="S16" s="774"/>
      <c r="T16" s="773"/>
      <c r="U16" s="774"/>
      <c r="V16" s="773"/>
      <c r="W16" s="774"/>
      <c r="X16" s="1815"/>
      <c r="Y16" s="3180"/>
      <c r="Z16" s="1816"/>
      <c r="AA16" s="1813">
        <v>1</v>
      </c>
      <c r="AB16" s="1813">
        <v>1</v>
      </c>
      <c r="AC16" s="1813">
        <v>1</v>
      </c>
    </row>
    <row r="17" spans="1:29" ht="85.5">
      <c r="A17" s="427"/>
      <c r="B17" s="450" t="s">
        <v>2089</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8"/>
      <c r="Q17" s="1812" t="str">
        <f>B17</f>
        <v>交通便捷度</v>
      </c>
      <c r="R17" s="773" t="s">
        <v>21</v>
      </c>
      <c r="S17" s="774">
        <f>F17</f>
        <v>100</v>
      </c>
      <c r="T17" s="773" t="s">
        <v>21</v>
      </c>
      <c r="U17" s="774">
        <f>H17</f>
        <v>100</v>
      </c>
      <c r="V17" s="773" t="s">
        <v>21</v>
      </c>
      <c r="W17" s="774">
        <f>J17</f>
        <v>100</v>
      </c>
      <c r="X17" s="1815"/>
      <c r="Y17" s="3180"/>
      <c r="Z17" s="1816" t="str">
        <f>Q17</f>
        <v>交通便捷度</v>
      </c>
      <c r="AA17" s="1813">
        <f t="shared" si="3"/>
        <v>1</v>
      </c>
      <c r="AB17" s="1813">
        <f t="shared" si="4"/>
        <v>1</v>
      </c>
      <c r="AC17" s="1813">
        <f t="shared" si="5"/>
        <v>1</v>
      </c>
    </row>
    <row r="18" spans="1:29" ht="15">
      <c r="A18" s="427"/>
      <c r="B18" s="455"/>
      <c r="C18" s="2609"/>
      <c r="D18" s="449"/>
      <c r="E18" s="2610"/>
      <c r="F18" s="449"/>
      <c r="G18" s="2611"/>
      <c r="H18" s="447"/>
      <c r="I18" s="2611"/>
      <c r="J18" s="447"/>
      <c r="K18" s="2607"/>
      <c r="L18" s="1142"/>
      <c r="M18" s="1133"/>
      <c r="N18" s="1133"/>
      <c r="O18" s="1133"/>
      <c r="P18" s="3238"/>
      <c r="Q18" s="1812"/>
      <c r="R18" s="773"/>
      <c r="S18" s="774"/>
      <c r="T18" s="773"/>
      <c r="U18" s="774"/>
      <c r="V18" s="773"/>
      <c r="W18" s="774"/>
      <c r="X18" s="1815"/>
      <c r="Y18" s="3180"/>
      <c r="Z18" s="1816"/>
      <c r="AA18" s="1813">
        <v>1</v>
      </c>
      <c r="AB18" s="1813">
        <v>1</v>
      </c>
      <c r="AC18" s="1813">
        <v>1</v>
      </c>
    </row>
    <row r="19" spans="1:29" ht="42.75">
      <c r="A19" s="427"/>
      <c r="B19" s="450" t="s">
        <v>2087</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8"/>
      <c r="Q19" s="1812" t="str">
        <f>B19</f>
        <v>公共配套设施</v>
      </c>
      <c r="R19" s="773" t="s">
        <v>21</v>
      </c>
      <c r="S19" s="774">
        <f>F19</f>
        <v>100</v>
      </c>
      <c r="T19" s="773" t="s">
        <v>21</v>
      </c>
      <c r="U19" s="774">
        <f>H19</f>
        <v>100</v>
      </c>
      <c r="V19" s="773" t="s">
        <v>21</v>
      </c>
      <c r="W19" s="774">
        <f>J19</f>
        <v>100</v>
      </c>
      <c r="X19" s="1815"/>
      <c r="Y19" s="3180"/>
      <c r="Z19" s="1816" t="str">
        <f>Q19</f>
        <v>公共配套设施</v>
      </c>
      <c r="AA19" s="1813">
        <f t="shared" si="3"/>
        <v>1</v>
      </c>
      <c r="AB19" s="1813">
        <f t="shared" si="4"/>
        <v>1</v>
      </c>
      <c r="AC19" s="1813">
        <f t="shared" si="5"/>
        <v>1</v>
      </c>
    </row>
    <row r="20" spans="1:29" ht="15">
      <c r="A20" s="427"/>
      <c r="B20" s="455"/>
      <c r="C20" s="446"/>
      <c r="D20" s="447"/>
      <c r="E20" s="2605"/>
      <c r="F20" s="447"/>
      <c r="G20" s="2606"/>
      <c r="H20" s="447"/>
      <c r="I20" s="2606"/>
      <c r="J20" s="447"/>
      <c r="K20" s="2607"/>
      <c r="L20" s="1142"/>
      <c r="M20" s="1133"/>
      <c r="N20" s="1133"/>
      <c r="O20" s="1133"/>
      <c r="P20" s="3238"/>
      <c r="Q20" s="1812"/>
      <c r="R20" s="773"/>
      <c r="S20" s="774"/>
      <c r="T20" s="773"/>
      <c r="U20" s="774"/>
      <c r="V20" s="773"/>
      <c r="W20" s="774"/>
      <c r="X20" s="1815"/>
      <c r="Y20" s="3180"/>
      <c r="Z20" s="1816"/>
      <c r="AA20" s="1813">
        <v>1</v>
      </c>
      <c r="AB20" s="1813">
        <v>1</v>
      </c>
      <c r="AC20" s="1813">
        <v>1</v>
      </c>
    </row>
    <row r="21" spans="1:29" ht="28.5">
      <c r="A21" s="427"/>
      <c r="B21" s="1386" t="s">
        <v>2090</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8"/>
      <c r="Q21" s="1812" t="str">
        <f>B21</f>
        <v>基础设施水平</v>
      </c>
      <c r="R21" s="773" t="s">
        <v>17</v>
      </c>
      <c r="S21" s="774">
        <f>F21</f>
        <v>100</v>
      </c>
      <c r="T21" s="773" t="s">
        <v>17</v>
      </c>
      <c r="U21" s="774">
        <f>H21</f>
        <v>100</v>
      </c>
      <c r="V21" s="773" t="s">
        <v>17</v>
      </c>
      <c r="W21" s="774">
        <f>J21</f>
        <v>100</v>
      </c>
      <c r="X21" s="1815"/>
      <c r="Y21" s="3180"/>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7"/>
      <c r="G22" s="2612"/>
      <c r="H22" s="447"/>
      <c r="I22" s="446"/>
      <c r="J22" s="447"/>
      <c r="K22" s="2613"/>
      <c r="L22" s="1142"/>
      <c r="M22" s="1133"/>
      <c r="N22" s="1133"/>
      <c r="O22" s="1133"/>
      <c r="P22" s="3238"/>
      <c r="Q22" s="1812"/>
      <c r="R22" s="773"/>
      <c r="S22" s="774"/>
      <c r="T22" s="773"/>
      <c r="U22" s="774"/>
      <c r="V22" s="773"/>
      <c r="W22" s="774"/>
      <c r="X22" s="1815"/>
      <c r="Y22" s="3180"/>
      <c r="Z22" s="1816"/>
      <c r="AA22" s="1813">
        <v>1</v>
      </c>
      <c r="AB22" s="1813">
        <v>1</v>
      </c>
      <c r="AC22" s="1813">
        <v>1</v>
      </c>
    </row>
    <row r="23" spans="1:29" ht="57">
      <c r="A23" s="427"/>
      <c r="B23" s="450" t="s">
        <v>2093</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8"/>
      <c r="Q23" s="1812" t="str">
        <f>B23</f>
        <v>自然及人文环境</v>
      </c>
      <c r="R23" s="773" t="s">
        <v>21</v>
      </c>
      <c r="S23" s="774">
        <f>F23</f>
        <v>100</v>
      </c>
      <c r="T23" s="773" t="s">
        <v>21</v>
      </c>
      <c r="U23" s="774">
        <f>H23</f>
        <v>100</v>
      </c>
      <c r="V23" s="773" t="s">
        <v>21</v>
      </c>
      <c r="W23" s="774">
        <f>J23</f>
        <v>100</v>
      </c>
      <c r="X23" s="1815"/>
      <c r="Y23" s="3180"/>
      <c r="Z23" s="1816" t="str">
        <f>Q23</f>
        <v>自然及人文环境</v>
      </c>
      <c r="AA23" s="1813">
        <f>D23/F23</f>
        <v>1</v>
      </c>
      <c r="AB23" s="1813">
        <f>D23/H23</f>
        <v>1</v>
      </c>
      <c r="AC23" s="1813">
        <f>D23/J23</f>
        <v>1</v>
      </c>
    </row>
    <row r="24" spans="1:29" ht="15">
      <c r="A24" s="427"/>
      <c r="B24" s="455"/>
      <c r="C24" s="446"/>
      <c r="D24" s="447"/>
      <c r="E24" s="2605"/>
      <c r="F24" s="447"/>
      <c r="G24" s="2606"/>
      <c r="H24" s="447"/>
      <c r="I24" s="2606"/>
      <c r="J24" s="447"/>
      <c r="K24" s="2607"/>
      <c r="L24" s="1142"/>
      <c r="M24" s="1133"/>
      <c r="N24" s="1133"/>
      <c r="O24" s="1133"/>
      <c r="P24" s="3238"/>
      <c r="Q24" s="1812"/>
      <c r="R24" s="773"/>
      <c r="S24" s="774"/>
      <c r="T24" s="773"/>
      <c r="U24" s="774"/>
      <c r="V24" s="773"/>
      <c r="W24" s="774"/>
      <c r="X24" s="1815"/>
      <c r="Y24" s="3180"/>
      <c r="Z24" s="1816"/>
      <c r="AA24" s="1813">
        <v>1</v>
      </c>
      <c r="AB24" s="1813">
        <v>1</v>
      </c>
      <c r="AC24" s="1813">
        <v>1</v>
      </c>
    </row>
    <row r="25" spans="1:29" ht="15">
      <c r="A25" s="427"/>
      <c r="B25" s="421" t="s">
        <v>2553</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238"/>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80"/>
      <c r="Z25" s="1816" t="str">
        <f>Q25</f>
        <v>楼层-1</v>
      </c>
      <c r="AA25" s="1813">
        <f t="shared" ref="AA25:AA46" si="15">D25/F25</f>
        <v>1</v>
      </c>
      <c r="AB25" s="1813">
        <f t="shared" ref="AB25:AB46" si="16">D25/H25</f>
        <v>1</v>
      </c>
      <c r="AC25" s="1813">
        <f t="shared" ref="AC25:AC46" si="17">D25/J25</f>
        <v>1</v>
      </c>
    </row>
    <row r="26" spans="1:29" ht="15">
      <c r="A26" s="427"/>
      <c r="B26" s="421" t="s">
        <v>2554</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238"/>
      <c r="Q26" s="1812" t="str">
        <f t="shared" si="11"/>
        <v>朝向</v>
      </c>
      <c r="R26" s="773" t="s">
        <v>21</v>
      </c>
      <c r="S26" s="774">
        <f t="shared" si="12"/>
        <v>100</v>
      </c>
      <c r="T26" s="773" t="s">
        <v>21</v>
      </c>
      <c r="U26" s="774">
        <f t="shared" si="13"/>
        <v>100</v>
      </c>
      <c r="V26" s="773" t="s">
        <v>21</v>
      </c>
      <c r="W26" s="774">
        <f t="shared" si="14"/>
        <v>100</v>
      </c>
      <c r="X26" s="1815"/>
      <c r="Y26" s="3180"/>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238"/>
      <c r="Q27" s="1797">
        <f t="shared" si="11"/>
        <v>111</v>
      </c>
      <c r="R27" s="769" t="s">
        <v>21</v>
      </c>
      <c r="S27" s="770">
        <f t="shared" si="12"/>
        <v>100</v>
      </c>
      <c r="T27" s="769" t="s">
        <v>21</v>
      </c>
      <c r="U27" s="770">
        <f t="shared" si="13"/>
        <v>100</v>
      </c>
      <c r="V27" s="769" t="s">
        <v>21</v>
      </c>
      <c r="W27" s="770">
        <f t="shared" si="14"/>
        <v>100</v>
      </c>
      <c r="X27" s="771"/>
      <c r="Y27" s="3180"/>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238"/>
      <c r="Q28" s="1812">
        <f t="shared" si="11"/>
        <v>111</v>
      </c>
      <c r="R28" s="773" t="s">
        <v>21</v>
      </c>
      <c r="S28" s="774">
        <f t="shared" si="12"/>
        <v>100</v>
      </c>
      <c r="T28" s="773" t="s">
        <v>21</v>
      </c>
      <c r="U28" s="774">
        <f t="shared" si="13"/>
        <v>100</v>
      </c>
      <c r="V28" s="773" t="s">
        <v>21</v>
      </c>
      <c r="W28" s="774">
        <f t="shared" si="14"/>
        <v>100</v>
      </c>
      <c r="X28" s="1815"/>
      <c r="Y28" s="3180"/>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238"/>
      <c r="Q29" s="1812">
        <f t="shared" si="11"/>
        <v>111</v>
      </c>
      <c r="R29" s="773" t="s">
        <v>21</v>
      </c>
      <c r="S29" s="774">
        <f t="shared" si="12"/>
        <v>100</v>
      </c>
      <c r="T29" s="773" t="s">
        <v>21</v>
      </c>
      <c r="U29" s="774">
        <f t="shared" si="13"/>
        <v>100</v>
      </c>
      <c r="V29" s="773" t="s">
        <v>21</v>
      </c>
      <c r="W29" s="774">
        <f t="shared" si="14"/>
        <v>100</v>
      </c>
      <c r="X29" s="1815"/>
      <c r="Y29" s="3180"/>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238"/>
      <c r="Q30" s="1812">
        <f t="shared" si="11"/>
        <v>111</v>
      </c>
      <c r="R30" s="773" t="s">
        <v>21</v>
      </c>
      <c r="S30" s="774">
        <f t="shared" si="12"/>
        <v>100</v>
      </c>
      <c r="T30" s="773" t="s">
        <v>21</v>
      </c>
      <c r="U30" s="774">
        <f t="shared" si="13"/>
        <v>100</v>
      </c>
      <c r="V30" s="773" t="s">
        <v>21</v>
      </c>
      <c r="W30" s="774">
        <f t="shared" si="14"/>
        <v>100</v>
      </c>
      <c r="X30" s="1815"/>
      <c r="Y30" s="3180"/>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238"/>
      <c r="Q31" s="1812">
        <f t="shared" si="11"/>
        <v>111</v>
      </c>
      <c r="R31" s="773" t="s">
        <v>21</v>
      </c>
      <c r="S31" s="774">
        <f t="shared" si="12"/>
        <v>100</v>
      </c>
      <c r="T31" s="773" t="s">
        <v>21</v>
      </c>
      <c r="U31" s="774">
        <f t="shared" si="13"/>
        <v>100</v>
      </c>
      <c r="V31" s="773" t="s">
        <v>21</v>
      </c>
      <c r="W31" s="774">
        <f t="shared" si="14"/>
        <v>100</v>
      </c>
      <c r="X31" s="1815"/>
      <c r="Y31" s="3180"/>
      <c r="Z31" s="1816">
        <f t="shared" si="18"/>
        <v>111</v>
      </c>
      <c r="AA31" s="1813">
        <f t="shared" si="15"/>
        <v>1</v>
      </c>
      <c r="AB31" s="1813">
        <f t="shared" si="16"/>
        <v>1</v>
      </c>
      <c r="AC31" s="1813">
        <f t="shared" si="17"/>
        <v>1</v>
      </c>
    </row>
    <row r="32" spans="1:29" ht="15">
      <c r="A32" s="439" t="s">
        <v>2555</v>
      </c>
      <c r="B32" s="71" t="s">
        <v>2556</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2"/>
      <c r="M32" s="1133"/>
      <c r="N32" s="1133"/>
      <c r="O32" s="1133"/>
      <c r="P32" s="3233" t="s">
        <v>2557</v>
      </c>
      <c r="Q32" s="1812" t="str">
        <f t="shared" si="11"/>
        <v>建筑类型</v>
      </c>
      <c r="R32" s="773" t="s">
        <v>21</v>
      </c>
      <c r="S32" s="774">
        <f t="shared" si="12"/>
        <v>100</v>
      </c>
      <c r="T32" s="773" t="s">
        <v>21</v>
      </c>
      <c r="U32" s="774">
        <f t="shared" si="13"/>
        <v>100</v>
      </c>
      <c r="V32" s="773" t="s">
        <v>21</v>
      </c>
      <c r="W32" s="774">
        <f t="shared" si="14"/>
        <v>100</v>
      </c>
      <c r="X32" s="1815"/>
      <c r="Y32" s="3181" t="s">
        <v>2557</v>
      </c>
      <c r="Z32" s="1816" t="str">
        <f t="shared" si="18"/>
        <v>建筑类型</v>
      </c>
      <c r="AA32" s="1813">
        <f t="shared" si="15"/>
        <v>1</v>
      </c>
      <c r="AB32" s="1813">
        <f t="shared" si="16"/>
        <v>1</v>
      </c>
      <c r="AC32" s="1813">
        <f t="shared" si="17"/>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40"/>
      <c r="M33" s="1143"/>
      <c r="N33" s="1143"/>
      <c r="O33" s="1143"/>
      <c r="P33" s="3234"/>
      <c r="Q33" s="775" t="str">
        <f t="shared" si="11"/>
        <v>项目建筑规模</v>
      </c>
      <c r="R33" s="776" t="s">
        <v>21</v>
      </c>
      <c r="S33" s="777" t="e">
        <f t="shared" si="12"/>
        <v>#N/A</v>
      </c>
      <c r="T33" s="776" t="s">
        <v>21</v>
      </c>
      <c r="U33" s="777" t="e">
        <f t="shared" si="13"/>
        <v>#N/A</v>
      </c>
      <c r="V33" s="776" t="s">
        <v>21</v>
      </c>
      <c r="W33" s="777" t="e">
        <f t="shared" si="14"/>
        <v>#N/A</v>
      </c>
      <c r="X33" s="778"/>
      <c r="Y33" s="3181"/>
      <c r="Z33" s="779" t="str">
        <f t="shared" si="18"/>
        <v>项目建筑规模</v>
      </c>
      <c r="AA33" s="1813" t="e">
        <f t="shared" si="15"/>
        <v>#N/A</v>
      </c>
      <c r="AB33" s="1813" t="e">
        <f t="shared" si="16"/>
        <v>#N/A</v>
      </c>
      <c r="AC33" s="1813" t="e">
        <f t="shared" si="17"/>
        <v>#N/A</v>
      </c>
    </row>
    <row r="34" spans="1:29" ht="15">
      <c r="A34" s="471"/>
      <c r="B34" s="421" t="s">
        <v>2559</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2"/>
      <c r="M34" s="1133"/>
      <c r="N34" s="1133"/>
      <c r="O34" s="1133"/>
      <c r="P34" s="3234"/>
      <c r="Q34" s="1812" t="str">
        <f t="shared" si="11"/>
        <v>建筑结构</v>
      </c>
      <c r="R34" s="773" t="s">
        <v>21</v>
      </c>
      <c r="S34" s="774">
        <f t="shared" si="12"/>
        <v>100</v>
      </c>
      <c r="T34" s="773" t="s">
        <v>21</v>
      </c>
      <c r="U34" s="774">
        <f t="shared" si="13"/>
        <v>100</v>
      </c>
      <c r="V34" s="773" t="s">
        <v>21</v>
      </c>
      <c r="W34" s="774">
        <f t="shared" si="14"/>
        <v>100</v>
      </c>
      <c r="X34" s="1815"/>
      <c r="Y34" s="3181"/>
      <c r="Z34" s="1816" t="str">
        <f t="shared" si="18"/>
        <v>建筑结构</v>
      </c>
      <c r="AA34" s="1813">
        <f t="shared" si="15"/>
        <v>1</v>
      </c>
      <c r="AB34" s="1813">
        <f t="shared" si="16"/>
        <v>1</v>
      </c>
      <c r="AC34" s="1813">
        <f t="shared" si="17"/>
        <v>1</v>
      </c>
    </row>
    <row r="35" spans="1:29" ht="15">
      <c r="A35" s="471"/>
      <c r="B35" s="421" t="s">
        <v>2560</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2"/>
      <c r="M35" s="1133"/>
      <c r="N35" s="1133"/>
      <c r="O35" s="1133"/>
      <c r="P35" s="3234"/>
      <c r="Q35" s="1812" t="str">
        <f t="shared" si="11"/>
        <v>建筑品质</v>
      </c>
      <c r="R35" s="773" t="s">
        <v>21</v>
      </c>
      <c r="S35" s="774">
        <f t="shared" si="12"/>
        <v>100</v>
      </c>
      <c r="T35" s="773" t="s">
        <v>21</v>
      </c>
      <c r="U35" s="774">
        <f t="shared" si="13"/>
        <v>100</v>
      </c>
      <c r="V35" s="773" t="s">
        <v>21</v>
      </c>
      <c r="W35" s="774">
        <f t="shared" si="14"/>
        <v>100</v>
      </c>
      <c r="X35" s="1815"/>
      <c r="Y35" s="3181"/>
      <c r="Z35" s="1816" t="str">
        <f t="shared" si="18"/>
        <v>建筑品质</v>
      </c>
      <c r="AA35" s="1813">
        <f t="shared" si="15"/>
        <v>1</v>
      </c>
      <c r="AB35" s="1813">
        <f t="shared" si="16"/>
        <v>1</v>
      </c>
      <c r="AC35" s="1813">
        <f t="shared" si="17"/>
        <v>1</v>
      </c>
    </row>
    <row r="36" spans="1:29" ht="15">
      <c r="A36" s="471"/>
      <c r="B36" s="421" t="s">
        <v>2561</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2"/>
      <c r="M36" s="1133"/>
      <c r="N36" s="1133"/>
      <c r="O36" s="1133"/>
      <c r="P36" s="3234"/>
      <c r="Q36" s="1812" t="str">
        <f t="shared" si="11"/>
        <v>公共部分装修</v>
      </c>
      <c r="R36" s="773" t="s">
        <v>21</v>
      </c>
      <c r="S36" s="774">
        <f t="shared" si="12"/>
        <v>100</v>
      </c>
      <c r="T36" s="773" t="s">
        <v>21</v>
      </c>
      <c r="U36" s="774">
        <f t="shared" si="13"/>
        <v>100</v>
      </c>
      <c r="V36" s="773" t="s">
        <v>21</v>
      </c>
      <c r="W36" s="774">
        <f t="shared" si="14"/>
        <v>100</v>
      </c>
      <c r="X36" s="1815"/>
      <c r="Y36" s="3181"/>
      <c r="Z36" s="1816" t="str">
        <f t="shared" si="18"/>
        <v>公共部分装修</v>
      </c>
      <c r="AA36" s="1813">
        <f t="shared" si="15"/>
        <v>1</v>
      </c>
      <c r="AB36" s="1813">
        <f t="shared" si="16"/>
        <v>1</v>
      </c>
      <c r="AC36" s="1813">
        <f t="shared" si="17"/>
        <v>1</v>
      </c>
    </row>
    <row r="37" spans="1:29" s="116" customFormat="1" ht="15">
      <c r="A37" s="472"/>
      <c r="B37" s="421" t="s">
        <v>2562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34"/>
      <c r="Q37" s="1797" t="str">
        <f t="shared" si="11"/>
        <v>成新度</v>
      </c>
      <c r="R37" s="769" t="s">
        <v>21</v>
      </c>
      <c r="S37" s="770" t="e">
        <f t="shared" si="12"/>
        <v>#N/A</v>
      </c>
      <c r="T37" s="769" t="s">
        <v>21</v>
      </c>
      <c r="U37" s="770" t="e">
        <f t="shared" si="13"/>
        <v>#N/A</v>
      </c>
      <c r="V37" s="769" t="s">
        <v>21</v>
      </c>
      <c r="W37" s="770" t="e">
        <f t="shared" si="14"/>
        <v>#N/A</v>
      </c>
      <c r="X37" s="771"/>
      <c r="Y37" s="3181"/>
      <c r="Z37" s="55" t="str">
        <f t="shared" si="18"/>
        <v>成新度</v>
      </c>
      <c r="AA37" s="772" t="e">
        <f t="shared" si="15"/>
        <v>#N/A</v>
      </c>
      <c r="AB37" s="772" t="e">
        <f t="shared" si="16"/>
        <v>#N/A</v>
      </c>
      <c r="AC37" s="772" t="e">
        <f t="shared" si="17"/>
        <v>#N/A</v>
      </c>
    </row>
    <row r="38" spans="1:29" ht="15">
      <c r="A38" s="471"/>
      <c r="B38" s="421" t="s">
        <v>2563</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2"/>
      <c r="M38" s="1133"/>
      <c r="N38" s="1133"/>
      <c r="O38" s="1133"/>
      <c r="P38" s="3234" t="s">
        <v>2557</v>
      </c>
      <c r="Q38" s="1812" t="str">
        <f t="shared" si="11"/>
        <v>物业管理</v>
      </c>
      <c r="R38" s="773" t="s">
        <v>21</v>
      </c>
      <c r="S38" s="774">
        <f t="shared" si="12"/>
        <v>100</v>
      </c>
      <c r="T38" s="773" t="s">
        <v>21</v>
      </c>
      <c r="U38" s="774">
        <f t="shared" si="13"/>
        <v>100</v>
      </c>
      <c r="V38" s="773" t="s">
        <v>21</v>
      </c>
      <c r="W38" s="774">
        <f t="shared" si="14"/>
        <v>100</v>
      </c>
      <c r="X38" s="1815"/>
      <c r="Y38" s="3181" t="s">
        <v>2557</v>
      </c>
      <c r="Z38" s="1816" t="str">
        <f t="shared" si="18"/>
        <v>物业管理</v>
      </c>
      <c r="AA38" s="1813">
        <f t="shared" si="15"/>
        <v>1</v>
      </c>
      <c r="AB38" s="1813">
        <f t="shared" si="16"/>
        <v>1</v>
      </c>
      <c r="AC38" s="1813">
        <f t="shared" si="17"/>
        <v>1</v>
      </c>
    </row>
    <row r="39" spans="1:29" ht="15">
      <c r="A39" s="471"/>
      <c r="B39" s="421" t="s">
        <v>2564</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2"/>
      <c r="M39" s="1133"/>
      <c r="N39" s="1133"/>
      <c r="O39" s="1133"/>
      <c r="P39" s="3234"/>
      <c r="Q39" s="1812" t="str">
        <f t="shared" si="11"/>
        <v>市政基础设施</v>
      </c>
      <c r="R39" s="773" t="s">
        <v>21</v>
      </c>
      <c r="S39" s="774">
        <f t="shared" si="12"/>
        <v>100</v>
      </c>
      <c r="T39" s="773" t="s">
        <v>21</v>
      </c>
      <c r="U39" s="774">
        <f t="shared" si="13"/>
        <v>100</v>
      </c>
      <c r="V39" s="773" t="s">
        <v>21</v>
      </c>
      <c r="W39" s="774">
        <f t="shared" si="14"/>
        <v>100</v>
      </c>
      <c r="X39" s="1815"/>
      <c r="Y39" s="3181"/>
      <c r="Z39" s="1816" t="str">
        <f t="shared" si="18"/>
        <v>市政基础设施</v>
      </c>
      <c r="AA39" s="1813">
        <f t="shared" si="15"/>
        <v>1</v>
      </c>
      <c r="AB39" s="1813">
        <f t="shared" si="16"/>
        <v>1</v>
      </c>
      <c r="AC39" s="1813">
        <f t="shared" si="17"/>
        <v>1</v>
      </c>
    </row>
    <row r="40" spans="1:29" ht="15">
      <c r="A40" s="471"/>
      <c r="B40" s="421" t="s">
        <v>2565</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234"/>
      <c r="Q40" s="1812" t="str">
        <f t="shared" si="11"/>
        <v>房型</v>
      </c>
      <c r="R40" s="773" t="s">
        <v>21</v>
      </c>
      <c r="S40" s="774">
        <f t="shared" si="12"/>
        <v>100</v>
      </c>
      <c r="T40" s="773" t="s">
        <v>21</v>
      </c>
      <c r="U40" s="774">
        <f t="shared" si="13"/>
        <v>100</v>
      </c>
      <c r="V40" s="773" t="s">
        <v>21</v>
      </c>
      <c r="W40" s="774">
        <f t="shared" si="14"/>
        <v>100</v>
      </c>
      <c r="X40" s="1815"/>
      <c r="Y40" s="3181"/>
      <c r="Z40" s="1816" t="str">
        <f t="shared" si="18"/>
        <v>房型</v>
      </c>
      <c r="AA40" s="1813">
        <f t="shared" si="15"/>
        <v>1</v>
      </c>
      <c r="AB40" s="1813">
        <f t="shared" si="16"/>
        <v>1</v>
      </c>
      <c r="AC40" s="1813">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234"/>
      <c r="Q41" s="775" t="str">
        <f t="shared" si="11"/>
        <v>单套/主力户型建筑面积</v>
      </c>
      <c r="R41" s="776" t="s">
        <v>21</v>
      </c>
      <c r="S41" s="777">
        <f t="shared" si="12"/>
        <v>100</v>
      </c>
      <c r="T41" s="776" t="s">
        <v>21</v>
      </c>
      <c r="U41" s="777">
        <f t="shared" si="13"/>
        <v>100</v>
      </c>
      <c r="V41" s="776" t="s">
        <v>21</v>
      </c>
      <c r="W41" s="777">
        <f t="shared" si="14"/>
        <v>100</v>
      </c>
      <c r="X41" s="778"/>
      <c r="Y41" s="3181"/>
      <c r="Z41" s="779" t="str">
        <f t="shared" si="18"/>
        <v>单套/主力户型建筑面积</v>
      </c>
      <c r="AA41" s="1813">
        <f t="shared" si="15"/>
        <v>1</v>
      </c>
      <c r="AB41" s="1813">
        <f t="shared" si="16"/>
        <v>1</v>
      </c>
      <c r="AC41" s="1813">
        <f t="shared" si="17"/>
        <v>1</v>
      </c>
    </row>
    <row r="42" spans="1:29" ht="15">
      <c r="A42" s="471"/>
      <c r="B42" s="421" t="s">
        <v>2567</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2"/>
      <c r="M42" s="1133"/>
      <c r="N42" s="1133"/>
      <c r="O42" s="1133"/>
      <c r="P42" s="3234"/>
      <c r="Q42" s="1812" t="str">
        <f t="shared" si="11"/>
        <v>内部装修</v>
      </c>
      <c r="R42" s="773" t="s">
        <v>21</v>
      </c>
      <c r="S42" s="774">
        <f t="shared" si="12"/>
        <v>100</v>
      </c>
      <c r="T42" s="773" t="s">
        <v>21</v>
      </c>
      <c r="U42" s="774">
        <f t="shared" si="13"/>
        <v>100</v>
      </c>
      <c r="V42" s="773" t="s">
        <v>21</v>
      </c>
      <c r="W42" s="774">
        <f t="shared" si="14"/>
        <v>100</v>
      </c>
      <c r="X42" s="1815"/>
      <c r="Y42" s="3181"/>
      <c r="Z42" s="1816" t="str">
        <f t="shared" si="18"/>
        <v>内部装修</v>
      </c>
      <c r="AA42" s="1813">
        <f t="shared" si="15"/>
        <v>1</v>
      </c>
      <c r="AB42" s="1813">
        <f t="shared" si="16"/>
        <v>1</v>
      </c>
      <c r="AC42" s="1813">
        <f t="shared" si="17"/>
        <v>1</v>
      </c>
    </row>
    <row r="43" spans="1:29" ht="15">
      <c r="A43" s="471"/>
      <c r="B43" s="421" t="s">
        <v>2568</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234"/>
      <c r="Q43" s="1812" t="str">
        <f t="shared" si="11"/>
        <v>内部装修维护情况</v>
      </c>
      <c r="R43" s="773" t="s">
        <v>21</v>
      </c>
      <c r="S43" s="774">
        <f t="shared" si="12"/>
        <v>100</v>
      </c>
      <c r="T43" s="773" t="s">
        <v>21</v>
      </c>
      <c r="U43" s="774">
        <f t="shared" si="13"/>
        <v>100</v>
      </c>
      <c r="V43" s="773" t="s">
        <v>21</v>
      </c>
      <c r="W43" s="774">
        <f t="shared" si="14"/>
        <v>100</v>
      </c>
      <c r="X43" s="1815"/>
      <c r="Y43" s="3181"/>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234"/>
      <c r="Q44" s="1797">
        <f t="shared" si="11"/>
        <v>111</v>
      </c>
      <c r="R44" s="769" t="s">
        <v>21</v>
      </c>
      <c r="S44" s="770">
        <f t="shared" si="12"/>
        <v>100</v>
      </c>
      <c r="T44" s="769" t="s">
        <v>21</v>
      </c>
      <c r="U44" s="770">
        <f t="shared" si="13"/>
        <v>100</v>
      </c>
      <c r="V44" s="769" t="s">
        <v>21</v>
      </c>
      <c r="W44" s="770">
        <f t="shared" si="14"/>
        <v>100</v>
      </c>
      <c r="X44" s="771"/>
      <c r="Y44" s="3181"/>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234"/>
      <c r="Q45" s="1812">
        <f t="shared" si="11"/>
        <v>111</v>
      </c>
      <c r="R45" s="773" t="s">
        <v>21</v>
      </c>
      <c r="S45" s="774">
        <f t="shared" si="12"/>
        <v>100</v>
      </c>
      <c r="T45" s="773" t="s">
        <v>21</v>
      </c>
      <c r="U45" s="774">
        <f t="shared" si="13"/>
        <v>100</v>
      </c>
      <c r="V45" s="773" t="s">
        <v>21</v>
      </c>
      <c r="W45" s="774">
        <f t="shared" si="14"/>
        <v>100</v>
      </c>
      <c r="X45" s="1815"/>
      <c r="Y45" s="3181"/>
      <c r="Z45" s="1816">
        <f t="shared" si="18"/>
        <v>111</v>
      </c>
      <c r="AA45" s="1813">
        <f t="shared" si="15"/>
        <v>1</v>
      </c>
      <c r="AB45" s="1813">
        <f t="shared" si="16"/>
        <v>1</v>
      </c>
      <c r="AC45" s="1813">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235"/>
      <c r="Q46" s="1812">
        <f t="shared" si="11"/>
        <v>111</v>
      </c>
      <c r="R46" s="773" t="s">
        <v>20</v>
      </c>
      <c r="S46" s="774">
        <f t="shared" si="12"/>
        <v>100</v>
      </c>
      <c r="T46" s="773" t="s">
        <v>20</v>
      </c>
      <c r="U46" s="774">
        <f t="shared" si="13"/>
        <v>100</v>
      </c>
      <c r="V46" s="773" t="s">
        <v>20</v>
      </c>
      <c r="W46" s="774">
        <f t="shared" si="14"/>
        <v>100</v>
      </c>
      <c r="X46" s="1815"/>
      <c r="Y46" s="3236"/>
      <c r="Z46" s="1816">
        <f t="shared" si="18"/>
        <v>111</v>
      </c>
      <c r="AA46" s="1813">
        <f t="shared" si="15"/>
        <v>1</v>
      </c>
      <c r="AB46" s="1813">
        <f t="shared" si="16"/>
        <v>1</v>
      </c>
      <c r="AC46" s="1813">
        <f t="shared" si="17"/>
        <v>1</v>
      </c>
    </row>
    <row r="47" spans="1:29" ht="15">
      <c r="A47" s="478" t="s">
        <v>2569</v>
      </c>
      <c r="B47" s="479"/>
      <c r="C47" s="1409" t="s">
        <v>19</v>
      </c>
      <c r="D47" s="1410"/>
      <c r="E47" s="1411"/>
      <c r="F47" s="1412"/>
      <c r="G47" s="1413"/>
      <c r="H47" s="1414"/>
      <c r="I47" s="1411"/>
      <c r="J47" s="1414"/>
      <c r="K47" s="2622"/>
      <c r="L47" s="1145"/>
      <c r="M47" s="1146"/>
      <c r="N47" s="1133"/>
      <c r="O47" s="1146"/>
      <c r="P47" s="3160" t="str">
        <f>A47</f>
        <v>成交单价（元/平方米）</v>
      </c>
      <c r="Q47" s="3160"/>
      <c r="R47" s="3232">
        <f>E47</f>
        <v>0</v>
      </c>
      <c r="S47" s="3232"/>
      <c r="T47" s="3232">
        <f>G47</f>
        <v>0</v>
      </c>
      <c r="U47" s="3232"/>
      <c r="V47" s="3232">
        <f>I47</f>
        <v>0</v>
      </c>
      <c r="W47" s="3232"/>
      <c r="X47" s="758"/>
      <c r="Y47" s="780"/>
      <c r="Z47" s="758"/>
      <c r="AA47" s="758"/>
      <c r="AB47" s="758"/>
      <c r="AC47" s="758"/>
    </row>
    <row r="48" spans="1:29" ht="15.75" thickBot="1">
      <c r="A48" s="485" t="s">
        <v>2570</v>
      </c>
      <c r="B48" s="486"/>
      <c r="C48" s="1415" t="e">
        <f>R49</f>
        <v>#DIV/0!</v>
      </c>
      <c r="D48" s="1416"/>
      <c r="E48" s="1417" t="e">
        <f>R48</f>
        <v>#DIV/0!</v>
      </c>
      <c r="F48" s="1417"/>
      <c r="G48" s="1415" t="e">
        <f>T48</f>
        <v>#DIV/0!</v>
      </c>
      <c r="H48" s="1416"/>
      <c r="I48" s="1417" t="e">
        <f>V48</f>
        <v>#DIV/0!</v>
      </c>
      <c r="J48" s="1416"/>
      <c r="K48" s="2623"/>
      <c r="L48" s="1145"/>
      <c r="M48" s="1146"/>
      <c r="N48" s="1146"/>
      <c r="O48" s="1146"/>
      <c r="P48" s="3160" t="str">
        <f>A48</f>
        <v>比较价值（元/平方米）</v>
      </c>
      <c r="Q48" s="3160"/>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8"/>
      <c r="Y48" s="758"/>
      <c r="Z48" s="758"/>
      <c r="AA48" s="758"/>
      <c r="AB48" s="758"/>
      <c r="AC48" s="758"/>
    </row>
    <row r="49" spans="1:29" ht="15.75" thickBot="1">
      <c r="A49" s="491" t="s">
        <v>2571</v>
      </c>
      <c r="B49" s="492"/>
      <c r="C49" s="1418" t="e">
        <f>R49</f>
        <v>#DIV/0!</v>
      </c>
      <c r="D49" s="1419"/>
      <c r="E49" s="1419"/>
      <c r="F49" s="1419"/>
      <c r="G49" s="1419"/>
      <c r="H49" s="1419"/>
      <c r="I49" s="1419"/>
      <c r="J49" s="1419"/>
      <c r="K49" s="2624"/>
      <c r="L49" s="1145"/>
      <c r="M49" s="1146"/>
      <c r="N49" s="1146"/>
      <c r="O49" s="1146"/>
      <c r="P49" s="3197" t="str">
        <f>A49</f>
        <v>估价对象XX用房的比较价值（楼面单价，元/平方米）</v>
      </c>
      <c r="Q49" s="3198"/>
      <c r="R49" s="3231" t="e">
        <f>IF(F1="售价",ROUND(AVERAGE(R48:V48),0),ROUND(AVERAGE(R48:V48),1))</f>
        <v>#DIV/0!</v>
      </c>
      <c r="S49" s="3231"/>
      <c r="T49" s="3231"/>
      <c r="U49" s="3231"/>
      <c r="V49" s="3231"/>
      <c r="W49" s="323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2575</v>
      </c>
      <c r="B57" s="758"/>
      <c r="C57" s="763"/>
      <c r="D57" s="763"/>
      <c r="E57" s="763"/>
      <c r="F57" s="764"/>
      <c r="G57" s="764"/>
      <c r="H57" s="763"/>
      <c r="I57" s="763"/>
      <c r="J57" s="763"/>
      <c r="K57" s="1162"/>
      <c r="L57" s="1163"/>
      <c r="M57" s="1161"/>
      <c r="N57" s="1161"/>
      <c r="O57" s="1161"/>
      <c r="P57" s="2627"/>
      <c r="Q57" s="503"/>
    </row>
    <row r="58" spans="1:29" s="507" customFormat="1" ht="15">
      <c r="A58" s="504" t="s">
        <v>2576</v>
      </c>
      <c r="B58" s="505"/>
      <c r="C58" s="1578" t="str">
        <f>YEAR(C7)&amp;"-"&amp;MONTH(C7)</f>
        <v>2019-1</v>
      </c>
      <c r="D58" s="1577">
        <f>EDATE(C58,-1)</f>
        <v>43435</v>
      </c>
      <c r="E58" s="1577">
        <f>EDATE(D58,-1)</f>
        <v>43405</v>
      </c>
      <c r="F58" s="1577">
        <f t="shared" ref="F58:O58" si="19">EDATE(E58,-1)</f>
        <v>43374</v>
      </c>
      <c r="G58" s="1577">
        <f t="shared" si="19"/>
        <v>43344</v>
      </c>
      <c r="H58" s="1577">
        <f t="shared" si="19"/>
        <v>43313</v>
      </c>
      <c r="I58" s="1577">
        <f t="shared" si="19"/>
        <v>43282</v>
      </c>
      <c r="J58" s="1577">
        <f t="shared" si="19"/>
        <v>43252</v>
      </c>
      <c r="K58" s="1577">
        <f t="shared" si="19"/>
        <v>43221</v>
      </c>
      <c r="L58" s="1577">
        <f t="shared" si="19"/>
        <v>43191</v>
      </c>
      <c r="M58" s="1577">
        <f t="shared" si="19"/>
        <v>43160</v>
      </c>
      <c r="N58" s="1577">
        <f t="shared" si="19"/>
        <v>43132</v>
      </c>
      <c r="O58" s="1577">
        <f t="shared" si="19"/>
        <v>43101</v>
      </c>
      <c r="P58" s="1572"/>
    </row>
    <row r="59" spans="1:29" s="116" customFormat="1" ht="15">
      <c r="A59" s="508"/>
      <c r="B59" s="2628"/>
      <c r="C59" s="1575">
        <v>100</v>
      </c>
      <c r="D59" s="510"/>
      <c r="E59" s="511"/>
      <c r="F59" s="511"/>
      <c r="G59" s="511"/>
      <c r="H59" s="511"/>
      <c r="I59" s="511"/>
      <c r="J59" s="511"/>
      <c r="K59" s="511"/>
      <c r="L59" s="511"/>
      <c r="M59" s="512"/>
      <c r="N59" s="511"/>
      <c r="O59" s="512"/>
      <c r="P59" s="2629"/>
    </row>
    <row r="60" spans="1:29" s="116" customFormat="1" ht="15.75" thickBot="1">
      <c r="A60" s="514" t="s">
        <v>2577</v>
      </c>
      <c r="B60" s="515"/>
      <c r="C60" s="516"/>
      <c r="D60" s="517"/>
      <c r="E60" s="517"/>
      <c r="F60" s="517"/>
      <c r="G60" s="517"/>
      <c r="H60" s="517"/>
      <c r="I60" s="517"/>
      <c r="J60" s="517"/>
      <c r="K60" s="517"/>
      <c r="L60" s="517"/>
      <c r="M60" s="518"/>
      <c r="N60" s="517"/>
      <c r="O60" s="518"/>
      <c r="P60" s="2629"/>
      <c r="Q60" s="503"/>
    </row>
    <row r="61" spans="1:29" s="116" customFormat="1" ht="15">
      <c r="A61" s="520" t="s">
        <v>2578</v>
      </c>
      <c r="B61" s="509"/>
      <c r="C61" s="521" t="s">
        <v>2579</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2580</v>
      </c>
      <c r="B63" s="527" t="s">
        <v>2546</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4"/>
      <c r="O65" s="1154"/>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1"/>
      <c r="Q66" s="503"/>
    </row>
    <row r="67" spans="1:17" ht="15.7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59"/>
      <c r="E73" s="559"/>
      <c r="F73" s="559"/>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2090</v>
      </c>
      <c r="C82" s="538" t="s">
        <v>2596</v>
      </c>
      <c r="D82" s="538" t="s">
        <v>2597</v>
      </c>
      <c r="E82" s="538" t="s">
        <v>2598</v>
      </c>
      <c r="F82" s="538" t="s">
        <v>2599</v>
      </c>
      <c r="G82" s="538" t="s">
        <v>2600</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2602</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6" customFormat="1" ht="15.75" thickTop="1">
      <c r="A88" s="578"/>
      <c r="B88" s="537" t="s">
        <v>2603</v>
      </c>
      <c r="C88" s="553"/>
      <c r="D88" s="553"/>
      <c r="E88" s="553"/>
      <c r="F88" s="2636"/>
      <c r="G88" s="553"/>
      <c r="H88" s="553"/>
      <c r="I88" s="553"/>
      <c r="J88" s="553"/>
      <c r="K88" s="553"/>
      <c r="L88" s="553"/>
      <c r="M88" s="580"/>
      <c r="N88" s="1153"/>
      <c r="O88" s="1153"/>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thickTop="1">
      <c r="A90" s="552"/>
      <c r="B90" s="537">
        <f>B27</f>
        <v>111</v>
      </c>
      <c r="C90" s="553"/>
      <c r="D90" s="553"/>
      <c r="E90" s="553"/>
      <c r="F90" s="553"/>
      <c r="G90" s="553"/>
      <c r="H90" s="554"/>
      <c r="I90" s="554"/>
      <c r="J90" s="554"/>
      <c r="K90" s="554"/>
      <c r="L90" s="555"/>
      <c r="M90" s="556"/>
      <c r="N90" s="1156"/>
      <c r="O90" s="1156"/>
      <c r="P90" s="2632"/>
      <c r="Q90" s="558"/>
    </row>
    <row r="91" spans="1:17" s="470" customFormat="1" ht="15.75" thickBot="1">
      <c r="A91" s="552"/>
      <c r="B91" s="542"/>
      <c r="C91" s="559"/>
      <c r="D91" s="559"/>
      <c r="E91" s="559"/>
      <c r="F91" s="559"/>
      <c r="G91" s="559"/>
      <c r="H91" s="561"/>
      <c r="I91" s="561"/>
      <c r="J91" s="561"/>
      <c r="K91" s="561"/>
      <c r="L91" s="561"/>
      <c r="M91" s="562"/>
      <c r="N91" s="1156"/>
      <c r="O91" s="1156"/>
      <c r="P91" s="2632"/>
      <c r="Q91" s="558"/>
    </row>
    <row r="92" spans="1:17" ht="15.75" thickTop="1">
      <c r="A92" s="533"/>
      <c r="B92" s="537">
        <f>B28</f>
        <v>111</v>
      </c>
      <c r="C92" s="553"/>
      <c r="D92" s="553"/>
      <c r="E92" s="553"/>
      <c r="F92" s="553"/>
      <c r="G92" s="582"/>
      <c r="H92" s="582"/>
      <c r="I92" s="582"/>
      <c r="J92" s="582"/>
      <c r="K92" s="583"/>
      <c r="L92" s="584"/>
      <c r="M92" s="585"/>
      <c r="N92" s="1154"/>
      <c r="O92" s="1154"/>
      <c r="P92" s="2631"/>
      <c r="Q92" s="503"/>
    </row>
    <row r="93" spans="1:17" ht="15.75" thickBot="1">
      <c r="A93" s="533"/>
      <c r="B93" s="542"/>
      <c r="C93" s="559"/>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59"/>
      <c r="E95" s="559"/>
      <c r="F95" s="559"/>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69"/>
      <c r="D97" s="569"/>
      <c r="E97" s="569"/>
      <c r="F97" s="569"/>
      <c r="G97" s="535"/>
      <c r="H97" s="535"/>
      <c r="I97" s="535"/>
      <c r="J97" s="535"/>
      <c r="K97" s="535"/>
      <c r="L97" s="535"/>
      <c r="M97" s="536"/>
      <c r="N97" s="1155"/>
      <c r="O97" s="1155"/>
      <c r="P97" s="2631"/>
      <c r="Q97" s="503"/>
    </row>
    <row r="98" spans="1:17" ht="15.75" thickTop="1">
      <c r="A98" s="533"/>
      <c r="B98" s="545">
        <f>B31</f>
        <v>111</v>
      </c>
      <c r="C98" s="586"/>
      <c r="D98" s="586"/>
      <c r="E98" s="586"/>
      <c r="F98" s="586"/>
      <c r="G98" s="586"/>
      <c r="H98" s="586"/>
      <c r="I98" s="586"/>
      <c r="J98" s="586"/>
      <c r="K98" s="587"/>
      <c r="L98" s="588"/>
      <c r="M98" s="589"/>
      <c r="N98" s="1154"/>
      <c r="O98" s="1154"/>
      <c r="P98" s="2631"/>
      <c r="Q98" s="503"/>
    </row>
    <row r="99" spans="1:17" ht="15.75" thickBot="1">
      <c r="A99" s="2637"/>
      <c r="B99" s="568"/>
      <c r="C99" s="590"/>
      <c r="D99" s="590"/>
      <c r="E99" s="590"/>
      <c r="F99" s="590"/>
      <c r="G99" s="590"/>
      <c r="H99" s="590"/>
      <c r="I99" s="590"/>
      <c r="J99" s="590"/>
      <c r="K99" s="590"/>
      <c r="L99" s="590"/>
      <c r="M99" s="591"/>
      <c r="N99" s="1155"/>
      <c r="O99" s="1155"/>
      <c r="P99" s="2631"/>
      <c r="Q99" s="503"/>
    </row>
    <row r="100" spans="1:17">
      <c r="A100" s="526" t="s">
        <v>2555</v>
      </c>
      <c r="B100" s="527" t="s">
        <v>2604</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15.7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2"/>
      <c r="Q104" s="558"/>
    </row>
    <row r="105" spans="1:17" ht="15" thickTop="1">
      <c r="A105" s="598"/>
      <c r="B105" s="537" t="s">
        <v>2606</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2607</v>
      </c>
      <c r="C107" s="582"/>
      <c r="D107" s="582"/>
      <c r="E107" s="582"/>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2608</v>
      </c>
      <c r="C109" s="553"/>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1988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2609</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2610</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2611</v>
      </c>
      <c r="C118" s="582"/>
      <c r="D118" s="582"/>
      <c r="E118" s="582"/>
      <c r="F118" s="582"/>
      <c r="G118" s="582"/>
      <c r="H118" s="582"/>
      <c r="I118" s="582"/>
      <c r="J118" s="582"/>
      <c r="K118" s="583"/>
      <c r="L118" s="584"/>
      <c r="M118" s="585"/>
      <c r="N118" s="1154"/>
      <c r="O118" s="1154"/>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2566</v>
      </c>
      <c r="C120" s="553"/>
      <c r="D120" s="553"/>
      <c r="E120" s="553"/>
      <c r="F120" s="553"/>
      <c r="G120" s="553"/>
      <c r="H120" s="553"/>
      <c r="I120" s="553"/>
      <c r="J120" s="553"/>
      <c r="K120" s="553"/>
      <c r="L120" s="579"/>
      <c r="M120" s="580"/>
      <c r="N120" s="1156"/>
      <c r="O120" s="1156"/>
      <c r="P120" s="263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2"/>
      <c r="Q121" s="558"/>
    </row>
    <row r="122" spans="1:17" ht="15" thickTop="1">
      <c r="A122" s="598"/>
      <c r="B122" s="537" t="s">
        <v>2612</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1"/>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59"/>
      <c r="E129" s="559"/>
      <c r="F129" s="559"/>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row r="136" spans="1:17" ht="15" thickBot="1">
      <c r="B136" s="2638" t="s">
        <v>2614</v>
      </c>
    </row>
    <row r="137" spans="1:17" ht="15">
      <c r="B137" s="2639" t="s">
        <v>2615</v>
      </c>
      <c r="C137" s="2640"/>
      <c r="D137" s="2640"/>
      <c r="E137" s="2640"/>
      <c r="F137" s="2640"/>
      <c r="G137" s="2641"/>
      <c r="H137" s="2642"/>
      <c r="I137" s="2643" t="s">
        <v>2616</v>
      </c>
      <c r="J137" s="2640"/>
      <c r="K137" s="2644"/>
    </row>
    <row r="138" spans="1:17" ht="15">
      <c r="B138" s="2645"/>
      <c r="C138" s="145" t="s">
        <v>2617</v>
      </c>
      <c r="D138" s="145" t="s">
        <v>2618</v>
      </c>
      <c r="E138" s="2646" t="s">
        <v>2619</v>
      </c>
      <c r="F138" s="2647" t="s">
        <v>2620</v>
      </c>
      <c r="G138" s="145" t="s">
        <v>2618</v>
      </c>
      <c r="H138" s="146" t="s">
        <v>2619</v>
      </c>
      <c r="I138" s="2648"/>
      <c r="J138" s="145" t="s">
        <v>2621</v>
      </c>
      <c r="K138" s="146" t="s">
        <v>2622</v>
      </c>
    </row>
    <row r="139" spans="1:17" ht="15">
      <c r="B139" s="1086">
        <v>6</v>
      </c>
      <c r="C139" s="1087">
        <v>96</v>
      </c>
      <c r="D139" s="2649" t="s">
        <v>2623</v>
      </c>
      <c r="E139" s="1088">
        <v>100</v>
      </c>
      <c r="F139" s="1089">
        <v>102.5</v>
      </c>
      <c r="G139" s="2649" t="s">
        <v>2623</v>
      </c>
      <c r="H139" s="1090">
        <v>105</v>
      </c>
      <c r="I139" s="2650" t="s">
        <v>2624</v>
      </c>
      <c r="J139" s="1087">
        <v>20</v>
      </c>
      <c r="K139" s="1091">
        <f>C145/(J139-2)</f>
        <v>4.0555555555555553E-3</v>
      </c>
    </row>
    <row r="140" spans="1:17" ht="15">
      <c r="B140" s="1092">
        <v>5</v>
      </c>
      <c r="C140" s="1093">
        <v>100</v>
      </c>
      <c r="D140" s="1093"/>
      <c r="E140" s="1094"/>
      <c r="F140" s="1095">
        <v>102</v>
      </c>
      <c r="G140" s="1093"/>
      <c r="H140" s="1096"/>
      <c r="I140" s="2651" t="s">
        <v>2625</v>
      </c>
      <c r="J140" s="314">
        <f>ROUNDUP((J139-1)/2,0)</f>
        <v>10</v>
      </c>
      <c r="K140" s="1097">
        <v>100</v>
      </c>
    </row>
    <row r="141" spans="1:17" ht="15">
      <c r="B141" s="1092">
        <v>4</v>
      </c>
      <c r="C141" s="1093">
        <v>102</v>
      </c>
      <c r="D141" s="1093"/>
      <c r="E141" s="1094"/>
      <c r="F141" s="1095">
        <v>101.5</v>
      </c>
      <c r="G141" s="1093"/>
      <c r="H141" s="1096"/>
      <c r="I141" s="2651" t="s">
        <v>2626</v>
      </c>
      <c r="J141" s="314">
        <v>1</v>
      </c>
      <c r="K141" s="1098">
        <f>ROUND(100+(J141-J140)*K139*100,1)</f>
        <v>96.4</v>
      </c>
    </row>
    <row r="142" spans="1:17" ht="15">
      <c r="B142" s="1092">
        <v>3</v>
      </c>
      <c r="C142" s="1093">
        <v>103</v>
      </c>
      <c r="D142" s="1093"/>
      <c r="E142" s="1094"/>
      <c r="F142" s="1095">
        <v>101</v>
      </c>
      <c r="G142" s="1093"/>
      <c r="H142" s="1096"/>
      <c r="I142" s="2651" t="s">
        <v>2627</v>
      </c>
      <c r="J142" s="314">
        <f>J139</f>
        <v>20</v>
      </c>
      <c r="K142" s="1099">
        <v>95</v>
      </c>
    </row>
    <row r="143" spans="1:17" ht="15">
      <c r="B143" s="1092">
        <v>2</v>
      </c>
      <c r="C143" s="1093">
        <v>100</v>
      </c>
      <c r="D143" s="1093"/>
      <c r="E143" s="1094"/>
      <c r="F143" s="1095">
        <v>100.5</v>
      </c>
      <c r="G143" s="1093"/>
      <c r="H143" s="1096"/>
      <c r="I143" s="2651" t="s">
        <v>2628</v>
      </c>
      <c r="J143" s="1093">
        <v>15</v>
      </c>
      <c r="K143" s="1098">
        <f>ROUND(100+(J143-J140)*K139*100,1)</f>
        <v>102</v>
      </c>
    </row>
    <row r="144" spans="1:17" ht="15">
      <c r="B144" s="1092">
        <v>1</v>
      </c>
      <c r="C144" s="1093">
        <v>98</v>
      </c>
      <c r="D144" s="2652" t="s">
        <v>2629</v>
      </c>
      <c r="E144" s="1094">
        <v>102</v>
      </c>
      <c r="F144" s="1100">
        <v>100</v>
      </c>
      <c r="G144" s="2652" t="s">
        <v>2629</v>
      </c>
      <c r="H144" s="1096">
        <v>105</v>
      </c>
      <c r="I144" s="2651" t="s">
        <v>2628</v>
      </c>
      <c r="J144" s="1093">
        <v>18</v>
      </c>
      <c r="K144" s="1098">
        <f>ROUND(100+(J144-J140)*K139*100,1)</f>
        <v>103.2</v>
      </c>
    </row>
    <row r="145" spans="2:11" ht="15.75" thickBot="1">
      <c r="B145" s="2653" t="s">
        <v>2630</v>
      </c>
      <c r="C145" s="1101">
        <f>ROUND(MAX(C139:C144)/MIN(C139:C144)-1,3)</f>
        <v>7.2999999999999995E-2</v>
      </c>
      <c r="D145" s="1102"/>
      <c r="E145" s="1102"/>
      <c r="F145" s="2654" t="s">
        <v>2631</v>
      </c>
      <c r="G145" s="2655"/>
      <c r="H145" s="2656"/>
      <c r="I145" s="2657" t="s">
        <v>2628</v>
      </c>
      <c r="J145" s="1103">
        <v>8</v>
      </c>
      <c r="K145" s="1104">
        <f>ROUND(100+(J145-J140)*K139*100,1)</f>
        <v>99.2</v>
      </c>
    </row>
    <row r="147" spans="2:11">
      <c r="B147" s="2638" t="s">
        <v>2632</v>
      </c>
    </row>
    <row r="148" spans="2:11">
      <c r="B148" s="2638"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2520</v>
      </c>
      <c r="B1" s="2583" t="s">
        <v>2634</v>
      </c>
      <c r="C1" s="1636" t="s">
        <v>2522</v>
      </c>
      <c r="D1" s="1623"/>
      <c r="E1" s="2658"/>
      <c r="F1" s="2585"/>
      <c r="G1" s="1633" t="s">
        <v>2635</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7" customFormat="1" ht="28.5" customHeight="1" thickTop="1">
      <c r="A2" s="1619" t="s">
        <v>2319</v>
      </c>
      <c r="B2" s="1420" t="e">
        <f ca="1">IF(C2="——",ROUND(C49*D3/10000,0),ROUND(C49*D3/10000,0)-D2)</f>
        <v>#DIV/0!</v>
      </c>
      <c r="C2" s="2587"/>
      <c r="D2" s="1367" t="e">
        <f ca="1">SUMIF(INDIRECT("'"&amp;F2&amp;"'"&amp;"!A:A"),"承租人权益价值",INDIRECT("'"&amp;F2&amp;"'"&amp;"!c:c"))</f>
        <v>#REF!</v>
      </c>
      <c r="E2" s="2588" t="s">
        <v>2320</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7" customFormat="1" ht="28.5" customHeight="1" thickBot="1">
      <c r="A3" s="246" t="s">
        <v>2321</v>
      </c>
      <c r="B3" s="608" t="e">
        <f ca="1">IF(C2="——",C49,ROUND(B2*10000/D3,0))</f>
        <v>#DIV/0!</v>
      </c>
      <c r="C3" s="399" t="s">
        <v>2636</v>
      </c>
      <c r="D3" s="398">
        <f>IF(D1="",'数据-汇总表'!E3,SUMIF('数据-汇总表'!$C19:$C33,D1,'数据-汇总表'!$E19:$E33))</f>
        <v>17987.810000000001</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0" t="s">
        <v>2637</v>
      </c>
      <c r="B4" s="401"/>
      <c r="C4" s="3157" t="s">
        <v>2638</v>
      </c>
      <c r="D4" s="3185"/>
      <c r="E4" s="3186" t="s">
        <v>2639</v>
      </c>
      <c r="F4" s="3187"/>
      <c r="G4" s="3157" t="s">
        <v>2640</v>
      </c>
      <c r="H4" s="3185"/>
      <c r="I4" s="3157" t="s">
        <v>2641</v>
      </c>
      <c r="J4" s="3185"/>
      <c r="K4" s="609" t="s">
        <v>2642</v>
      </c>
      <c r="L4" s="1132"/>
      <c r="M4" s="1133"/>
      <c r="N4" s="1133"/>
      <c r="O4" s="1133"/>
      <c r="P4" s="3188" t="s">
        <v>2643</v>
      </c>
      <c r="Q4" s="3189"/>
      <c r="R4" s="3164" t="s">
        <v>2639</v>
      </c>
      <c r="S4" s="3165"/>
      <c r="T4" s="3164" t="s">
        <v>2640</v>
      </c>
      <c r="U4" s="3165"/>
      <c r="V4" s="3178" t="s">
        <v>2641</v>
      </c>
      <c r="W4" s="3178"/>
      <c r="X4" s="1815"/>
      <c r="Y4" s="3164" t="s">
        <v>2643</v>
      </c>
      <c r="Z4" s="3165"/>
      <c r="AA4" s="3182" t="s">
        <v>2639</v>
      </c>
      <c r="AB4" s="3178" t="s">
        <v>2640</v>
      </c>
      <c r="AC4" s="3182" t="s">
        <v>2641</v>
      </c>
    </row>
    <row r="5" spans="1:29" ht="15">
      <c r="A5" s="403"/>
      <c r="B5" s="404"/>
      <c r="C5" s="3168" t="s">
        <v>2534</v>
      </c>
      <c r="D5" s="3169"/>
      <c r="E5" s="3194" t="s">
        <v>2535</v>
      </c>
      <c r="F5" s="3195"/>
      <c r="G5" s="3168" t="s">
        <v>2536</v>
      </c>
      <c r="H5" s="3169"/>
      <c r="I5" s="3168" t="s">
        <v>2537</v>
      </c>
      <c r="J5" s="3169"/>
      <c r="K5" s="609"/>
      <c r="L5" s="1132"/>
      <c r="M5" s="1133"/>
      <c r="N5" s="1133"/>
      <c r="O5" s="1133"/>
      <c r="P5" s="3190"/>
      <c r="Q5" s="3191"/>
      <c r="R5" s="3166"/>
      <c r="S5" s="3167"/>
      <c r="T5" s="3166"/>
      <c r="U5" s="3167"/>
      <c r="V5" s="3178"/>
      <c r="W5" s="3178"/>
      <c r="X5" s="1815"/>
      <c r="Y5" s="3166"/>
      <c r="Z5" s="3167"/>
      <c r="AA5" s="3183"/>
      <c r="AB5" s="3178"/>
      <c r="AC5" s="3183"/>
    </row>
    <row r="6" spans="1:29" ht="15.75" thickBot="1">
      <c r="A6" s="405"/>
      <c r="B6" s="406"/>
      <c r="C6" s="3239" t="s">
        <v>2538</v>
      </c>
      <c r="D6" s="3240"/>
      <c r="E6" s="3241" t="s">
        <v>2538</v>
      </c>
      <c r="F6" s="3242"/>
      <c r="G6" s="3239" t="s">
        <v>2538</v>
      </c>
      <c r="H6" s="3240"/>
      <c r="I6" s="3239" t="s">
        <v>2538</v>
      </c>
      <c r="J6" s="3240"/>
      <c r="K6" s="609" t="s">
        <v>2539</v>
      </c>
      <c r="L6" s="1132"/>
      <c r="M6" s="1133"/>
      <c r="N6" s="1133"/>
      <c r="O6" s="1133"/>
      <c r="P6" s="3192"/>
      <c r="Q6" s="3193"/>
      <c r="R6" s="3166"/>
      <c r="S6" s="3167"/>
      <c r="T6" s="3176"/>
      <c r="U6" s="3177"/>
      <c r="V6" s="3178"/>
      <c r="W6" s="3178"/>
      <c r="X6" s="1815"/>
      <c r="Y6" s="3176"/>
      <c r="Z6" s="3177"/>
      <c r="AA6" s="3184"/>
      <c r="AB6" s="3178"/>
      <c r="AC6" s="3184"/>
    </row>
    <row r="7" spans="1:29" s="116" customFormat="1" ht="15.75" thickBot="1">
      <c r="A7" s="407" t="s">
        <v>2540</v>
      </c>
      <c r="B7" s="408"/>
      <c r="C7" s="409">
        <f>'数据-取费表'!B2</f>
        <v>43487</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62" t="s">
        <v>2541</v>
      </c>
      <c r="Q7" s="3172"/>
      <c r="R7" s="769" t="s">
        <v>17</v>
      </c>
      <c r="S7" s="770">
        <f t="shared" ref="S7:S15" si="0">F7</f>
        <v>0</v>
      </c>
      <c r="T7" s="769" t="s">
        <v>17</v>
      </c>
      <c r="U7" s="770">
        <f t="shared" ref="U7:U15" si="1">H7</f>
        <v>0</v>
      </c>
      <c r="V7" s="769" t="s">
        <v>17</v>
      </c>
      <c r="W7" s="770">
        <f t="shared" ref="W7:W15" si="2">J7</f>
        <v>0</v>
      </c>
      <c r="X7" s="771"/>
      <c r="Y7" s="3162" t="s">
        <v>2541</v>
      </c>
      <c r="Z7" s="3163"/>
      <c r="AA7" s="772" t="e">
        <f>D7/F7</f>
        <v>#DIV/0!</v>
      </c>
      <c r="AB7" s="772" t="e">
        <f>D7/H7</f>
        <v>#DIV/0!</v>
      </c>
      <c r="AC7" s="772" t="e">
        <f>D7/J7</f>
        <v>#DIV/0!</v>
      </c>
    </row>
    <row r="8" spans="1:29" s="116"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62" t="s">
        <v>2544</v>
      </c>
      <c r="Q8" s="3163"/>
      <c r="R8" s="769" t="s">
        <v>17</v>
      </c>
      <c r="S8" s="770">
        <f t="shared" si="0"/>
        <v>0</v>
      </c>
      <c r="T8" s="769" t="s">
        <v>17</v>
      </c>
      <c r="U8" s="770">
        <f t="shared" si="1"/>
        <v>0</v>
      </c>
      <c r="V8" s="769" t="s">
        <v>17</v>
      </c>
      <c r="W8" s="770">
        <f t="shared" si="2"/>
        <v>0</v>
      </c>
      <c r="X8" s="771"/>
      <c r="Y8" s="3162" t="s">
        <v>2544</v>
      </c>
      <c r="Z8" s="3163"/>
      <c r="AA8" s="772" t="e">
        <f t="shared" ref="AA8:AA46" si="3">D8/F8</f>
        <v>#DIV/0!</v>
      </c>
      <c r="AB8" s="772" t="e">
        <f t="shared" ref="AB8:AB46" si="4">D8/H8</f>
        <v>#DIV/0!</v>
      </c>
      <c r="AC8" s="772" t="e">
        <f t="shared" ref="AC8:AC46" si="5">D8/J8</f>
        <v>#DIV/0!</v>
      </c>
    </row>
    <row r="9" spans="1:29" s="116" customFormat="1">
      <c r="A9" s="414" t="s">
        <v>2545</v>
      </c>
      <c r="B9" s="71" t="s">
        <v>2546</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59" t="s">
        <v>2547</v>
      </c>
      <c r="Q9" s="1797" t="str">
        <f t="shared" ref="Q9:Q15" si="6">B9</f>
        <v>用途</v>
      </c>
      <c r="R9" s="769" t="s">
        <v>17</v>
      </c>
      <c r="S9" s="770">
        <f t="shared" si="0"/>
        <v>100</v>
      </c>
      <c r="T9" s="769" t="s">
        <v>17</v>
      </c>
      <c r="U9" s="770">
        <f t="shared" si="1"/>
        <v>100</v>
      </c>
      <c r="V9" s="769" t="s">
        <v>17</v>
      </c>
      <c r="W9" s="770">
        <f t="shared" si="2"/>
        <v>100</v>
      </c>
      <c r="X9" s="771"/>
      <c r="Y9" s="3015"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59"/>
      <c r="Q10" s="1797"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59"/>
      <c r="Q11" s="1797" t="str">
        <f t="shared" si="6"/>
        <v>容积率</v>
      </c>
      <c r="R11" s="769" t="s">
        <v>17</v>
      </c>
      <c r="S11" s="770" t="e">
        <f t="shared" si="0"/>
        <v>#N/A</v>
      </c>
      <c r="T11" s="769" t="s">
        <v>17</v>
      </c>
      <c r="U11" s="770" t="e">
        <f t="shared" si="1"/>
        <v>#N/A</v>
      </c>
      <c r="V11" s="769" t="s">
        <v>17</v>
      </c>
      <c r="W11" s="770" t="e">
        <f t="shared" si="2"/>
        <v>#N/A</v>
      </c>
      <c r="X11" s="771"/>
      <c r="Y11" s="3015"/>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59"/>
      <c r="Q12" s="1797">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59"/>
      <c r="Q13" s="1797">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59"/>
      <c r="Q14" s="1797">
        <f t="shared" si="6"/>
        <v>111</v>
      </c>
      <c r="R14" s="769" t="s">
        <v>17</v>
      </c>
      <c r="S14" s="770">
        <f t="shared" si="0"/>
        <v>100</v>
      </c>
      <c r="T14" s="769" t="s">
        <v>17</v>
      </c>
      <c r="U14" s="770">
        <f t="shared" si="1"/>
        <v>100</v>
      </c>
      <c r="V14" s="769" t="s">
        <v>17</v>
      </c>
      <c r="W14" s="770">
        <f t="shared" si="2"/>
        <v>100</v>
      </c>
      <c r="X14" s="771"/>
      <c r="Y14" s="3015"/>
      <c r="Z14" s="55">
        <f t="shared" si="7"/>
        <v>111</v>
      </c>
      <c r="AA14" s="772">
        <f t="shared" si="3"/>
        <v>1</v>
      </c>
      <c r="AB14" s="772">
        <f t="shared" si="4"/>
        <v>1</v>
      </c>
      <c r="AC14" s="772">
        <f t="shared" si="5"/>
        <v>1</v>
      </c>
    </row>
    <row r="15" spans="1:29" ht="71.25">
      <c r="A15" s="439" t="s">
        <v>2551</v>
      </c>
      <c r="B15" s="69" t="s">
        <v>2645</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37" t="s">
        <v>2552</v>
      </c>
      <c r="Q15" s="1812" t="str">
        <f t="shared" si="6"/>
        <v>商业繁华度</v>
      </c>
      <c r="R15" s="773" t="s">
        <v>17</v>
      </c>
      <c r="S15" s="774">
        <f t="shared" si="0"/>
        <v>100</v>
      </c>
      <c r="T15" s="773" t="s">
        <v>17</v>
      </c>
      <c r="U15" s="774">
        <f t="shared" si="1"/>
        <v>100</v>
      </c>
      <c r="V15" s="773" t="s">
        <v>17</v>
      </c>
      <c r="W15" s="774">
        <f t="shared" si="2"/>
        <v>100</v>
      </c>
      <c r="X15" s="1815"/>
      <c r="Y15" s="3179" t="s">
        <v>2552</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38"/>
      <c r="Q16" s="1812"/>
      <c r="R16" s="773"/>
      <c r="S16" s="774"/>
      <c r="T16" s="773"/>
      <c r="U16" s="774"/>
      <c r="V16" s="773"/>
      <c r="W16" s="774"/>
      <c r="X16" s="1815"/>
      <c r="Y16" s="3180"/>
      <c r="Z16" s="1816"/>
      <c r="AA16" s="1813">
        <v>1</v>
      </c>
      <c r="AB16" s="1813">
        <v>1</v>
      </c>
      <c r="AC16" s="1813">
        <v>1</v>
      </c>
    </row>
    <row r="17" spans="1:29" ht="85.5">
      <c r="A17" s="427"/>
      <c r="B17" s="450" t="s">
        <v>2089</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8"/>
      <c r="Q17" s="1812" t="str">
        <f>B17</f>
        <v>交通便捷度</v>
      </c>
      <c r="R17" s="773" t="s">
        <v>17</v>
      </c>
      <c r="S17" s="774">
        <f>F17</f>
        <v>100</v>
      </c>
      <c r="T17" s="773" t="s">
        <v>17</v>
      </c>
      <c r="U17" s="774">
        <f>H17</f>
        <v>100</v>
      </c>
      <c r="V17" s="773" t="s">
        <v>17</v>
      </c>
      <c r="W17" s="774">
        <f>J17</f>
        <v>100</v>
      </c>
      <c r="X17" s="1815"/>
      <c r="Y17" s="3180"/>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33"/>
      <c r="P18" s="3238"/>
      <c r="Q18" s="1812"/>
      <c r="R18" s="773"/>
      <c r="S18" s="774"/>
      <c r="T18" s="773"/>
      <c r="U18" s="774"/>
      <c r="V18" s="773"/>
      <c r="W18" s="774"/>
      <c r="X18" s="1815"/>
      <c r="Y18" s="3180"/>
      <c r="Z18" s="1816"/>
      <c r="AA18" s="1813">
        <v>1</v>
      </c>
      <c r="AB18" s="1813">
        <v>1</v>
      </c>
      <c r="AC18" s="1813">
        <v>1</v>
      </c>
    </row>
    <row r="19" spans="1:29" ht="42.75">
      <c r="A19" s="427"/>
      <c r="B19" s="450" t="s">
        <v>2646</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8"/>
      <c r="Q19" s="1812" t="str">
        <f>B19</f>
        <v>公共配套设施</v>
      </c>
      <c r="R19" s="773" t="s">
        <v>17</v>
      </c>
      <c r="S19" s="774">
        <f>F19</f>
        <v>100</v>
      </c>
      <c r="T19" s="773" t="s">
        <v>17</v>
      </c>
      <c r="U19" s="774">
        <f>H19</f>
        <v>100</v>
      </c>
      <c r="V19" s="773" t="s">
        <v>17</v>
      </c>
      <c r="W19" s="774">
        <f>J19</f>
        <v>100</v>
      </c>
      <c r="X19" s="1815"/>
      <c r="Y19" s="3180"/>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33"/>
      <c r="P20" s="3238"/>
      <c r="Q20" s="1812"/>
      <c r="R20" s="773"/>
      <c r="S20" s="774"/>
      <c r="T20" s="773"/>
      <c r="U20" s="774"/>
      <c r="V20" s="773"/>
      <c r="W20" s="774"/>
      <c r="X20" s="1815"/>
      <c r="Y20" s="3180"/>
      <c r="Z20" s="1816"/>
      <c r="AA20" s="1813">
        <v>1</v>
      </c>
      <c r="AB20" s="1813">
        <v>1</v>
      </c>
      <c r="AC20" s="1813">
        <v>1</v>
      </c>
    </row>
    <row r="21" spans="1:29" ht="28.5">
      <c r="A21" s="427"/>
      <c r="B21" s="1386" t="s">
        <v>2647</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8"/>
      <c r="Q21" s="1812" t="str">
        <f>B21</f>
        <v>基础设施水平</v>
      </c>
      <c r="R21" s="773" t="s">
        <v>17</v>
      </c>
      <c r="S21" s="774">
        <f>F21</f>
        <v>100</v>
      </c>
      <c r="T21" s="773" t="s">
        <v>17</v>
      </c>
      <c r="U21" s="774">
        <f>H21</f>
        <v>100</v>
      </c>
      <c r="V21" s="773" t="s">
        <v>17</v>
      </c>
      <c r="W21" s="774">
        <f>J21</f>
        <v>100</v>
      </c>
      <c r="X21" s="1815"/>
      <c r="Y21" s="3180"/>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33"/>
      <c r="P22" s="3238"/>
      <c r="Q22" s="1812"/>
      <c r="R22" s="773"/>
      <c r="S22" s="774"/>
      <c r="T22" s="773"/>
      <c r="U22" s="774"/>
      <c r="V22" s="773"/>
      <c r="W22" s="774"/>
      <c r="X22" s="1815"/>
      <c r="Y22" s="3180"/>
      <c r="Z22" s="1816"/>
      <c r="AA22" s="1813">
        <v>1</v>
      </c>
      <c r="AB22" s="1813">
        <v>1</v>
      </c>
      <c r="AC22" s="1813">
        <v>1</v>
      </c>
    </row>
    <row r="23" spans="1:29" ht="57">
      <c r="A23" s="427"/>
      <c r="B23" s="450" t="s">
        <v>2093</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8"/>
      <c r="Q23" s="1812" t="str">
        <f>B23</f>
        <v>自然及人文环境</v>
      </c>
      <c r="R23" s="773" t="s">
        <v>17</v>
      </c>
      <c r="S23" s="774">
        <f>F23</f>
        <v>100</v>
      </c>
      <c r="T23" s="773" t="s">
        <v>17</v>
      </c>
      <c r="U23" s="774">
        <f>H23</f>
        <v>100</v>
      </c>
      <c r="V23" s="773" t="s">
        <v>17</v>
      </c>
      <c r="W23" s="774">
        <f>J23</f>
        <v>100</v>
      </c>
      <c r="X23" s="1815"/>
      <c r="Y23" s="3180"/>
      <c r="Z23" s="1816" t="str">
        <f>Q23</f>
        <v>自然及人文环境</v>
      </c>
      <c r="AA23" s="1813">
        <f t="shared" si="3"/>
        <v>1</v>
      </c>
      <c r="AB23" s="1813">
        <f t="shared" si="4"/>
        <v>1</v>
      </c>
      <c r="AC23" s="1813">
        <f t="shared" si="5"/>
        <v>1</v>
      </c>
    </row>
    <row r="24" spans="1:29" ht="15">
      <c r="A24" s="427"/>
      <c r="B24" s="455"/>
      <c r="C24" s="446"/>
      <c r="D24" s="447"/>
      <c r="E24" s="2606"/>
      <c r="F24" s="448"/>
      <c r="G24" s="2605"/>
      <c r="H24" s="447"/>
      <c r="I24" s="2606"/>
      <c r="J24" s="447"/>
      <c r="K24" s="614"/>
      <c r="L24" s="1142"/>
      <c r="M24" s="1133"/>
      <c r="N24" s="1133"/>
      <c r="O24" s="1133"/>
      <c r="P24" s="3238"/>
      <c r="Q24" s="1812"/>
      <c r="R24" s="773"/>
      <c r="S24" s="774"/>
      <c r="T24" s="773"/>
      <c r="U24" s="774"/>
      <c r="V24" s="773"/>
      <c r="W24" s="774"/>
      <c r="X24" s="1815"/>
      <c r="Y24" s="3180"/>
      <c r="Z24" s="1816"/>
      <c r="AA24" s="1813">
        <v>1</v>
      </c>
      <c r="AB24" s="1813">
        <v>1</v>
      </c>
      <c r="AC24" s="1813">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8"/>
      <c r="Q25" s="1812" t="str">
        <f t="shared" ref="Q25:Q46" si="11">B25</f>
        <v>临街状况</v>
      </c>
      <c r="R25" s="773" t="s">
        <v>17</v>
      </c>
      <c r="S25" s="774">
        <f>F25</f>
        <v>100</v>
      </c>
      <c r="T25" s="773" t="s">
        <v>17</v>
      </c>
      <c r="U25" s="774">
        <f>H25</f>
        <v>100</v>
      </c>
      <c r="V25" s="773" t="s">
        <v>17</v>
      </c>
      <c r="W25" s="774">
        <f>J25</f>
        <v>100</v>
      </c>
      <c r="X25" s="1815"/>
      <c r="Y25" s="3180"/>
      <c r="Z25" s="1816" t="str">
        <f>Q25</f>
        <v>临街状况</v>
      </c>
      <c r="AA25" s="1813">
        <f t="shared" si="3"/>
        <v>1</v>
      </c>
      <c r="AB25" s="1813">
        <f t="shared" si="4"/>
        <v>1</v>
      </c>
      <c r="AC25" s="1813">
        <f t="shared" si="5"/>
        <v>1</v>
      </c>
    </row>
    <row r="26" spans="1:29" ht="15">
      <c r="A26" s="427"/>
      <c r="B26" s="1388" t="s">
        <v>2649</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8"/>
      <c r="Q26" s="1812" t="str">
        <f t="shared" si="11"/>
        <v>平面位置/可视性</v>
      </c>
      <c r="R26" s="773" t="s">
        <v>17</v>
      </c>
      <c r="S26" s="774">
        <f>F26</f>
        <v>100</v>
      </c>
      <c r="T26" s="773" t="s">
        <v>17</v>
      </c>
      <c r="U26" s="774">
        <f>H26</f>
        <v>100</v>
      </c>
      <c r="V26" s="773" t="s">
        <v>17</v>
      </c>
      <c r="W26" s="774">
        <f>J26</f>
        <v>100</v>
      </c>
      <c r="X26" s="1815"/>
      <c r="Y26" s="3180"/>
      <c r="Z26" s="1816" t="str">
        <f>Q26</f>
        <v>平面位置/可视性</v>
      </c>
      <c r="AA26" s="1813">
        <f t="shared" si="3"/>
        <v>1</v>
      </c>
      <c r="AB26" s="1813">
        <f t="shared" si="4"/>
        <v>1</v>
      </c>
      <c r="AC26" s="1813">
        <f t="shared" si="5"/>
        <v>1</v>
      </c>
    </row>
    <row r="27" spans="1:29" s="116" customFormat="1" ht="15">
      <c r="A27" s="430"/>
      <c r="B27" s="450" t="s">
        <v>2650</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238"/>
      <c r="Q27" s="1797" t="str">
        <f t="shared" si="11"/>
        <v>人流量</v>
      </c>
      <c r="R27" s="769" t="s">
        <v>17</v>
      </c>
      <c r="S27" s="770">
        <f>F27</f>
        <v>100</v>
      </c>
      <c r="T27" s="769" t="s">
        <v>17</v>
      </c>
      <c r="U27" s="770">
        <f>H27</f>
        <v>100</v>
      </c>
      <c r="V27" s="769" t="s">
        <v>17</v>
      </c>
      <c r="W27" s="770">
        <f>J27</f>
        <v>100</v>
      </c>
      <c r="X27" s="771"/>
      <c r="Y27" s="3180"/>
      <c r="Z27" s="55" t="str">
        <f>Q27</f>
        <v>人流量</v>
      </c>
      <c r="AA27" s="1813">
        <f>D27/F27</f>
        <v>1</v>
      </c>
      <c r="AB27" s="1813">
        <f>D27/H27</f>
        <v>1</v>
      </c>
      <c r="AC27" s="1813">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8"/>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80"/>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8"/>
      <c r="Q29" s="1812">
        <f t="shared" si="11"/>
        <v>111</v>
      </c>
      <c r="R29" s="773" t="s">
        <v>17</v>
      </c>
      <c r="S29" s="774">
        <f t="shared" si="12"/>
        <v>100</v>
      </c>
      <c r="T29" s="773" t="s">
        <v>17</v>
      </c>
      <c r="U29" s="774">
        <f t="shared" si="13"/>
        <v>100</v>
      </c>
      <c r="V29" s="773" t="s">
        <v>17</v>
      </c>
      <c r="W29" s="774">
        <f t="shared" si="14"/>
        <v>100</v>
      </c>
      <c r="X29" s="1815"/>
      <c r="Y29" s="3180"/>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8"/>
      <c r="Q30" s="1812">
        <f t="shared" si="11"/>
        <v>111</v>
      </c>
      <c r="R30" s="773" t="s">
        <v>17</v>
      </c>
      <c r="S30" s="774">
        <f t="shared" si="12"/>
        <v>100</v>
      </c>
      <c r="T30" s="773" t="s">
        <v>17</v>
      </c>
      <c r="U30" s="774">
        <f t="shared" si="13"/>
        <v>100</v>
      </c>
      <c r="V30" s="773" t="s">
        <v>17</v>
      </c>
      <c r="W30" s="774">
        <f t="shared" si="14"/>
        <v>100</v>
      </c>
      <c r="X30" s="1815"/>
      <c r="Y30" s="3180"/>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8"/>
      <c r="Q31" s="1812">
        <f t="shared" si="11"/>
        <v>111</v>
      </c>
      <c r="R31" s="773" t="s">
        <v>17</v>
      </c>
      <c r="S31" s="774">
        <f t="shared" si="12"/>
        <v>100</v>
      </c>
      <c r="T31" s="773" t="s">
        <v>17</v>
      </c>
      <c r="U31" s="774">
        <f t="shared" si="13"/>
        <v>100</v>
      </c>
      <c r="V31" s="773" t="s">
        <v>17</v>
      </c>
      <c r="W31" s="774">
        <f t="shared" si="14"/>
        <v>100</v>
      </c>
      <c r="X31" s="1815"/>
      <c r="Y31" s="3180"/>
      <c r="Z31" s="1816">
        <f t="shared" si="15"/>
        <v>111</v>
      </c>
      <c r="AA31" s="1813">
        <f t="shared" si="3"/>
        <v>1</v>
      </c>
      <c r="AB31" s="1813">
        <f t="shared" si="4"/>
        <v>1</v>
      </c>
      <c r="AC31" s="1813">
        <f t="shared" si="5"/>
        <v>1</v>
      </c>
    </row>
    <row r="32" spans="1:29" ht="15">
      <c r="A32" s="439" t="s">
        <v>2555</v>
      </c>
      <c r="B32" s="71" t="s">
        <v>2652</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233" t="s">
        <v>2557</v>
      </c>
      <c r="Q32" s="1812" t="str">
        <f t="shared" si="11"/>
        <v>商业类型</v>
      </c>
      <c r="R32" s="773" t="s">
        <v>17</v>
      </c>
      <c r="S32" s="774">
        <f t="shared" si="12"/>
        <v>100</v>
      </c>
      <c r="T32" s="773" t="s">
        <v>17</v>
      </c>
      <c r="U32" s="774">
        <f t="shared" si="13"/>
        <v>100</v>
      </c>
      <c r="V32" s="773" t="s">
        <v>17</v>
      </c>
      <c r="W32" s="774">
        <f t="shared" si="14"/>
        <v>100</v>
      </c>
      <c r="X32" s="1815"/>
      <c r="Y32" s="3181" t="s">
        <v>2557</v>
      </c>
      <c r="Z32" s="1816" t="str">
        <f t="shared" si="15"/>
        <v>商业类型</v>
      </c>
      <c r="AA32" s="1813">
        <f t="shared" si="3"/>
        <v>1</v>
      </c>
      <c r="AB32" s="1813">
        <f t="shared" si="4"/>
        <v>1</v>
      </c>
      <c r="AC32" s="1813">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34"/>
      <c r="Q33" s="775" t="str">
        <f t="shared" si="11"/>
        <v>项目建筑规模</v>
      </c>
      <c r="R33" s="776" t="s">
        <v>17</v>
      </c>
      <c r="S33" s="777" t="e">
        <f t="shared" si="12"/>
        <v>#N/A</v>
      </c>
      <c r="T33" s="776" t="s">
        <v>17</v>
      </c>
      <c r="U33" s="777" t="e">
        <f t="shared" si="13"/>
        <v>#N/A</v>
      </c>
      <c r="V33" s="776" t="s">
        <v>17</v>
      </c>
      <c r="W33" s="777" t="e">
        <f t="shared" si="14"/>
        <v>#N/A</v>
      </c>
      <c r="X33" s="778"/>
      <c r="Y33" s="3181"/>
      <c r="Z33" s="779" t="str">
        <f t="shared" si="15"/>
        <v>项目建筑规模</v>
      </c>
      <c r="AA33" s="1813" t="e">
        <f t="shared" si="3"/>
        <v>#N/A</v>
      </c>
      <c r="AB33" s="1813" t="e">
        <f t="shared" si="4"/>
        <v>#N/A</v>
      </c>
      <c r="AC33" s="1813" t="e">
        <f t="shared" si="5"/>
        <v>#N/A</v>
      </c>
    </row>
    <row r="34" spans="1:29" ht="15">
      <c r="A34" s="471"/>
      <c r="B34" s="421" t="s">
        <v>2559</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234"/>
      <c r="Q34" s="1812" t="str">
        <f t="shared" si="11"/>
        <v>建筑结构</v>
      </c>
      <c r="R34" s="773" t="s">
        <v>17</v>
      </c>
      <c r="S34" s="774">
        <f t="shared" si="12"/>
        <v>100</v>
      </c>
      <c r="T34" s="773" t="s">
        <v>17</v>
      </c>
      <c r="U34" s="774">
        <f t="shared" si="13"/>
        <v>100</v>
      </c>
      <c r="V34" s="773" t="s">
        <v>17</v>
      </c>
      <c r="W34" s="774">
        <f t="shared" si="14"/>
        <v>100</v>
      </c>
      <c r="X34" s="1815"/>
      <c r="Y34" s="3181"/>
      <c r="Z34" s="1816" t="str">
        <f t="shared" si="15"/>
        <v>建筑结构</v>
      </c>
      <c r="AA34" s="1813">
        <f t="shared" si="3"/>
        <v>1</v>
      </c>
      <c r="AB34" s="1813">
        <f t="shared" si="4"/>
        <v>1</v>
      </c>
      <c r="AC34" s="1813">
        <f t="shared" si="5"/>
        <v>1</v>
      </c>
    </row>
    <row r="35" spans="1:29" ht="15">
      <c r="A35" s="471"/>
      <c r="B35" s="421" t="s">
        <v>2653</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234"/>
      <c r="Q35" s="1812" t="str">
        <f t="shared" si="11"/>
        <v>公共部分装修</v>
      </c>
      <c r="R35" s="773" t="s">
        <v>17</v>
      </c>
      <c r="S35" s="774">
        <f t="shared" si="12"/>
        <v>100</v>
      </c>
      <c r="T35" s="773" t="s">
        <v>17</v>
      </c>
      <c r="U35" s="774">
        <f t="shared" si="13"/>
        <v>100</v>
      </c>
      <c r="V35" s="773" t="s">
        <v>17</v>
      </c>
      <c r="W35" s="774">
        <f t="shared" si="14"/>
        <v>100</v>
      </c>
      <c r="X35" s="1815"/>
      <c r="Y35" s="3181"/>
      <c r="Z35" s="1816" t="str">
        <f t="shared" si="15"/>
        <v>公共部分装修</v>
      </c>
      <c r="AA35" s="1813">
        <f t="shared" si="3"/>
        <v>1</v>
      </c>
      <c r="AB35" s="1813">
        <f t="shared" si="4"/>
        <v>1</v>
      </c>
      <c r="AC35" s="1813">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4"/>
      <c r="Q36" s="1812" t="str">
        <f t="shared" si="11"/>
        <v>成新度</v>
      </c>
      <c r="R36" s="773" t="s">
        <v>17</v>
      </c>
      <c r="S36" s="774" t="e">
        <f t="shared" si="12"/>
        <v>#N/A</v>
      </c>
      <c r="T36" s="773" t="s">
        <v>17</v>
      </c>
      <c r="U36" s="774" t="e">
        <f t="shared" si="13"/>
        <v>#N/A</v>
      </c>
      <c r="V36" s="773" t="s">
        <v>17</v>
      </c>
      <c r="W36" s="774" t="e">
        <f t="shared" si="14"/>
        <v>#N/A</v>
      </c>
      <c r="X36" s="1815"/>
      <c r="Y36" s="3181"/>
      <c r="Z36" s="1816" t="str">
        <f t="shared" si="15"/>
        <v>成新度</v>
      </c>
      <c r="AA36" s="1813" t="e">
        <f t="shared" si="3"/>
        <v>#N/A</v>
      </c>
      <c r="AB36" s="1813" t="e">
        <f t="shared" si="4"/>
        <v>#N/A</v>
      </c>
      <c r="AC36" s="1813" t="e">
        <f t="shared" si="5"/>
        <v>#N/A</v>
      </c>
    </row>
    <row r="37" spans="1:29" s="116" customFormat="1" ht="15">
      <c r="A37" s="472"/>
      <c r="B37" s="421" t="s">
        <v>2655</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234"/>
      <c r="Q37" s="1797" t="str">
        <f t="shared" si="11"/>
        <v>市政基础设施</v>
      </c>
      <c r="R37" s="769" t="s">
        <v>17</v>
      </c>
      <c r="S37" s="770">
        <f t="shared" si="12"/>
        <v>100</v>
      </c>
      <c r="T37" s="769" t="s">
        <v>17</v>
      </c>
      <c r="U37" s="770">
        <f t="shared" si="13"/>
        <v>100</v>
      </c>
      <c r="V37" s="769" t="s">
        <v>17</v>
      </c>
      <c r="W37" s="770">
        <f t="shared" si="14"/>
        <v>100</v>
      </c>
      <c r="X37" s="771"/>
      <c r="Y37" s="3181"/>
      <c r="Z37" s="55" t="str">
        <f t="shared" si="15"/>
        <v>市政基础设施</v>
      </c>
      <c r="AA37" s="772">
        <f t="shared" si="3"/>
        <v>1</v>
      </c>
      <c r="AB37" s="772">
        <f t="shared" si="4"/>
        <v>1</v>
      </c>
      <c r="AC37" s="772">
        <f t="shared" si="5"/>
        <v>1</v>
      </c>
    </row>
    <row r="38" spans="1:29" ht="15">
      <c r="A38" s="471"/>
      <c r="B38" s="421" t="s">
        <v>2656</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234" t="s">
        <v>2557</v>
      </c>
      <c r="Q38" s="1812" t="str">
        <f t="shared" si="11"/>
        <v>业态</v>
      </c>
      <c r="R38" s="773" t="s">
        <v>17</v>
      </c>
      <c r="S38" s="774">
        <f t="shared" si="12"/>
        <v>100</v>
      </c>
      <c r="T38" s="773" t="s">
        <v>17</v>
      </c>
      <c r="U38" s="774">
        <f t="shared" si="13"/>
        <v>100</v>
      </c>
      <c r="V38" s="773" t="s">
        <v>17</v>
      </c>
      <c r="W38" s="774">
        <f t="shared" si="14"/>
        <v>100</v>
      </c>
      <c r="X38" s="1815"/>
      <c r="Y38" s="3181" t="s">
        <v>2557</v>
      </c>
      <c r="Z38" s="1816" t="str">
        <f t="shared" si="15"/>
        <v>业态</v>
      </c>
      <c r="AA38" s="1813">
        <f t="shared" si="3"/>
        <v>1</v>
      </c>
      <c r="AB38" s="1813">
        <f t="shared" si="4"/>
        <v>1</v>
      </c>
      <c r="AC38" s="1813">
        <f t="shared" si="5"/>
        <v>1</v>
      </c>
    </row>
    <row r="39" spans="1:29" ht="15">
      <c r="A39" s="471"/>
      <c r="B39" s="421" t="s">
        <v>2657</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234"/>
      <c r="Q39" s="1812" t="str">
        <f t="shared" si="11"/>
        <v>层高</v>
      </c>
      <c r="R39" s="773" t="s">
        <v>17</v>
      </c>
      <c r="S39" s="774">
        <f t="shared" si="12"/>
        <v>100</v>
      </c>
      <c r="T39" s="773" t="s">
        <v>17</v>
      </c>
      <c r="U39" s="774">
        <f t="shared" si="13"/>
        <v>100</v>
      </c>
      <c r="V39" s="773" t="s">
        <v>17</v>
      </c>
      <c r="W39" s="774">
        <f t="shared" si="14"/>
        <v>100</v>
      </c>
      <c r="X39" s="1815"/>
      <c r="Y39" s="3181"/>
      <c r="Z39" s="1816" t="str">
        <f t="shared" si="15"/>
        <v>层高</v>
      </c>
      <c r="AA39" s="1813">
        <f t="shared" si="3"/>
        <v>1</v>
      </c>
      <c r="AB39" s="1813">
        <f t="shared" si="4"/>
        <v>1</v>
      </c>
      <c r="AC39" s="1813">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4"/>
      <c r="Q40" s="1812" t="str">
        <f t="shared" si="11"/>
        <v>单套建筑面积</v>
      </c>
      <c r="R40" s="773" t="s">
        <v>17</v>
      </c>
      <c r="S40" s="774">
        <f t="shared" si="12"/>
        <v>100</v>
      </c>
      <c r="T40" s="773" t="s">
        <v>17</v>
      </c>
      <c r="U40" s="774">
        <f t="shared" si="13"/>
        <v>100</v>
      </c>
      <c r="V40" s="773" t="s">
        <v>17</v>
      </c>
      <c r="W40" s="774">
        <f t="shared" si="14"/>
        <v>100</v>
      </c>
      <c r="X40" s="1815"/>
      <c r="Y40" s="3181"/>
      <c r="Z40" s="1816" t="str">
        <f t="shared" si="15"/>
        <v>单套建筑面积</v>
      </c>
      <c r="AA40" s="1813">
        <f t="shared" si="3"/>
        <v>1</v>
      </c>
      <c r="AB40" s="1813">
        <f t="shared" si="4"/>
        <v>1</v>
      </c>
      <c r="AC40" s="1813">
        <f t="shared" si="5"/>
        <v>1</v>
      </c>
    </row>
    <row r="41" spans="1:29" s="470" customFormat="1" ht="15">
      <c r="A41" s="467"/>
      <c r="B41" s="1814"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4"/>
      <c r="Q41" s="775" t="str">
        <f t="shared" si="11"/>
        <v>进深比</v>
      </c>
      <c r="R41" s="776" t="s">
        <v>17</v>
      </c>
      <c r="S41" s="777">
        <f t="shared" si="12"/>
        <v>100</v>
      </c>
      <c r="T41" s="776" t="s">
        <v>17</v>
      </c>
      <c r="U41" s="777">
        <f t="shared" si="13"/>
        <v>100</v>
      </c>
      <c r="V41" s="776" t="s">
        <v>17</v>
      </c>
      <c r="W41" s="777">
        <f t="shared" si="14"/>
        <v>100</v>
      </c>
      <c r="X41" s="778"/>
      <c r="Y41" s="3181"/>
      <c r="Z41" s="779" t="str">
        <f t="shared" si="15"/>
        <v>进深比</v>
      </c>
      <c r="AA41" s="1813">
        <f t="shared" si="3"/>
        <v>1</v>
      </c>
      <c r="AB41" s="1813">
        <f t="shared" si="4"/>
        <v>1</v>
      </c>
      <c r="AC41" s="1813">
        <f t="shared" si="5"/>
        <v>1</v>
      </c>
    </row>
    <row r="42" spans="1:29" ht="15">
      <c r="A42" s="471"/>
      <c r="B42" s="421" t="s">
        <v>2660</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234"/>
      <c r="Q42" s="1812" t="str">
        <f t="shared" si="11"/>
        <v>内部装修</v>
      </c>
      <c r="R42" s="773" t="s">
        <v>17</v>
      </c>
      <c r="S42" s="774">
        <f t="shared" si="12"/>
        <v>100</v>
      </c>
      <c r="T42" s="773" t="s">
        <v>17</v>
      </c>
      <c r="U42" s="774">
        <f t="shared" si="13"/>
        <v>100</v>
      </c>
      <c r="V42" s="773" t="s">
        <v>17</v>
      </c>
      <c r="W42" s="774">
        <f t="shared" si="14"/>
        <v>100</v>
      </c>
      <c r="X42" s="1815"/>
      <c r="Y42" s="3181"/>
      <c r="Z42" s="1816" t="str">
        <f t="shared" si="15"/>
        <v>内部装修</v>
      </c>
      <c r="AA42" s="1813">
        <f t="shared" si="3"/>
        <v>1</v>
      </c>
      <c r="AB42" s="1813">
        <f t="shared" si="4"/>
        <v>1</v>
      </c>
      <c r="AC42" s="1813">
        <f t="shared" si="5"/>
        <v>1</v>
      </c>
    </row>
    <row r="43" spans="1:29" ht="15">
      <c r="A43" s="471"/>
      <c r="B43" s="421" t="s">
        <v>2568</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234"/>
      <c r="Q43" s="1812" t="str">
        <f t="shared" si="11"/>
        <v>内部装修维护情况</v>
      </c>
      <c r="R43" s="773" t="s">
        <v>17</v>
      </c>
      <c r="S43" s="774">
        <f t="shared" si="12"/>
        <v>100</v>
      </c>
      <c r="T43" s="773" t="s">
        <v>17</v>
      </c>
      <c r="U43" s="774">
        <f t="shared" si="13"/>
        <v>100</v>
      </c>
      <c r="V43" s="773" t="s">
        <v>17</v>
      </c>
      <c r="W43" s="774">
        <f t="shared" si="14"/>
        <v>100</v>
      </c>
      <c r="X43" s="1815"/>
      <c r="Y43" s="3181"/>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4"/>
      <c r="Q44" s="1797">
        <f t="shared" si="11"/>
        <v>111</v>
      </c>
      <c r="R44" s="769" t="s">
        <v>17</v>
      </c>
      <c r="S44" s="770">
        <f t="shared" si="12"/>
        <v>100</v>
      </c>
      <c r="T44" s="769" t="s">
        <v>17</v>
      </c>
      <c r="U44" s="770">
        <f t="shared" si="13"/>
        <v>100</v>
      </c>
      <c r="V44" s="769" t="s">
        <v>17</v>
      </c>
      <c r="W44" s="770">
        <f t="shared" si="14"/>
        <v>100</v>
      </c>
      <c r="X44" s="771"/>
      <c r="Y44" s="3181"/>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4"/>
      <c r="Q45" s="1812">
        <f t="shared" si="11"/>
        <v>111</v>
      </c>
      <c r="R45" s="773" t="s">
        <v>17</v>
      </c>
      <c r="S45" s="774">
        <f t="shared" si="12"/>
        <v>100</v>
      </c>
      <c r="T45" s="773" t="s">
        <v>17</v>
      </c>
      <c r="U45" s="774">
        <f t="shared" si="13"/>
        <v>100</v>
      </c>
      <c r="V45" s="773" t="s">
        <v>17</v>
      </c>
      <c r="W45" s="774">
        <f t="shared" si="14"/>
        <v>100</v>
      </c>
      <c r="X45" s="1815"/>
      <c r="Y45" s="3181"/>
      <c r="Z45" s="1816">
        <f t="shared" si="15"/>
        <v>111</v>
      </c>
      <c r="AA45" s="1813">
        <f t="shared" si="3"/>
        <v>1</v>
      </c>
      <c r="AB45" s="1813">
        <f t="shared" si="4"/>
        <v>1</v>
      </c>
      <c r="AC45" s="1813">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5"/>
      <c r="Q46" s="1812">
        <f t="shared" si="11"/>
        <v>111</v>
      </c>
      <c r="R46" s="773" t="s">
        <v>17</v>
      </c>
      <c r="S46" s="774">
        <f t="shared" si="12"/>
        <v>100</v>
      </c>
      <c r="T46" s="773" t="s">
        <v>17</v>
      </c>
      <c r="U46" s="774">
        <f t="shared" si="13"/>
        <v>100</v>
      </c>
      <c r="V46" s="773" t="s">
        <v>17</v>
      </c>
      <c r="W46" s="774">
        <f t="shared" si="14"/>
        <v>100</v>
      </c>
      <c r="X46" s="1815"/>
      <c r="Y46" s="3236"/>
      <c r="Z46" s="1816">
        <f t="shared" si="15"/>
        <v>111</v>
      </c>
      <c r="AA46" s="1813">
        <f t="shared" si="3"/>
        <v>1</v>
      </c>
      <c r="AB46" s="1813">
        <f t="shared" si="4"/>
        <v>1</v>
      </c>
      <c r="AC46" s="1813">
        <f t="shared" si="5"/>
        <v>1</v>
      </c>
    </row>
    <row r="47" spans="1:29" ht="15">
      <c r="A47" s="478" t="s">
        <v>2569</v>
      </c>
      <c r="B47" s="479"/>
      <c r="C47" s="1409" t="s">
        <v>1</v>
      </c>
      <c r="D47" s="1410"/>
      <c r="E47" s="1411"/>
      <c r="F47" s="1412"/>
      <c r="G47" s="1413"/>
      <c r="H47" s="1414"/>
      <c r="I47" s="1411"/>
      <c r="J47" s="1414"/>
      <c r="K47" s="782"/>
      <c r="L47" s="1145"/>
      <c r="M47" s="1146"/>
      <c r="N47" s="1133"/>
      <c r="O47" s="1146"/>
      <c r="P47" s="3160" t="str">
        <f>A47</f>
        <v>成交单价（元/平方米）</v>
      </c>
      <c r="Q47" s="3160"/>
      <c r="R47" s="3178">
        <f>E47</f>
        <v>0</v>
      </c>
      <c r="S47" s="3178"/>
      <c r="T47" s="3178">
        <f>G47</f>
        <v>0</v>
      </c>
      <c r="U47" s="3178"/>
      <c r="V47" s="3178">
        <f>I47</f>
        <v>0</v>
      </c>
      <c r="W47" s="3178"/>
      <c r="X47" s="758"/>
      <c r="Y47" s="780"/>
      <c r="Z47" s="758"/>
      <c r="AA47" s="758"/>
      <c r="AB47" s="758"/>
      <c r="AC47" s="758"/>
    </row>
    <row r="48" spans="1:29" ht="15.75" thickBot="1">
      <c r="A48" s="485" t="s">
        <v>2661</v>
      </c>
      <c r="B48" s="486"/>
      <c r="C48" s="1415" t="e">
        <f>R49</f>
        <v>#DIV/0!</v>
      </c>
      <c r="D48" s="1416"/>
      <c r="E48" s="1417" t="e">
        <f>R48</f>
        <v>#DIV/0!</v>
      </c>
      <c r="F48" s="1417"/>
      <c r="G48" s="1415" t="e">
        <f>T48</f>
        <v>#DIV/0!</v>
      </c>
      <c r="H48" s="1416"/>
      <c r="I48" s="1417" t="e">
        <f>V48</f>
        <v>#DIV/0!</v>
      </c>
      <c r="J48" s="1416"/>
      <c r="K48" s="783"/>
      <c r="L48" s="1145"/>
      <c r="M48" s="1146"/>
      <c r="N48" s="1133"/>
      <c r="O48" s="1146"/>
      <c r="P48" s="3160" t="str">
        <f>A48</f>
        <v>比较价值（元/平方米）</v>
      </c>
      <c r="Q48" s="3160"/>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8"/>
      <c r="Y48" s="758"/>
      <c r="Z48" s="758"/>
      <c r="AA48" s="758"/>
      <c r="AB48" s="758"/>
      <c r="AC48" s="758"/>
    </row>
    <row r="49" spans="1:29" ht="15.75" thickBot="1">
      <c r="A49" s="491" t="s">
        <v>2662</v>
      </c>
      <c r="B49" s="492"/>
      <c r="C49" s="1419" t="e">
        <f>R49</f>
        <v>#DIV/0!</v>
      </c>
      <c r="D49" s="1419"/>
      <c r="E49" s="1419"/>
      <c r="F49" s="1419"/>
      <c r="G49" s="1419"/>
      <c r="H49" s="1419"/>
      <c r="I49" s="1419"/>
      <c r="J49" s="1419"/>
      <c r="K49" s="784"/>
      <c r="L49" s="1145"/>
      <c r="M49" s="1146"/>
      <c r="N49" s="1133"/>
      <c r="O49" s="1146"/>
      <c r="P49" s="3197" t="str">
        <f>A49</f>
        <v>估价对象XX用房的比较价值（楼面单价，元/平方米）</v>
      </c>
      <c r="Q49" s="3198"/>
      <c r="R49" s="3231" t="e">
        <f>IF(F1="售价",ROUND(AVERAGE(R48:V48),0),ROUND(AVERAGE(R48:V48),1))</f>
        <v>#DIV/0!</v>
      </c>
      <c r="S49" s="3231"/>
      <c r="T49" s="3231"/>
      <c r="U49" s="3231"/>
      <c r="V49" s="3231"/>
      <c r="W49" s="323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2540</v>
      </c>
      <c r="B58" s="505"/>
      <c r="C58" s="1576" t="str">
        <f>YEAR(C7)&amp;"-"&amp;MONTH(C7)</f>
        <v>2019-1</v>
      </c>
      <c r="D58" s="1577">
        <f>EDATE(C58,-1)</f>
        <v>43435</v>
      </c>
      <c r="E58" s="1577">
        <f t="shared" ref="E58:N58" si="16">EDATE(D58,-1)</f>
        <v>43405</v>
      </c>
      <c r="F58" s="1577">
        <f t="shared" si="16"/>
        <v>43374</v>
      </c>
      <c r="G58" s="1577">
        <f t="shared" si="16"/>
        <v>43344</v>
      </c>
      <c r="H58" s="1577">
        <f t="shared" si="16"/>
        <v>43313</v>
      </c>
      <c r="I58" s="1577">
        <f t="shared" si="16"/>
        <v>43282</v>
      </c>
      <c r="J58" s="1577">
        <f t="shared" si="16"/>
        <v>43252</v>
      </c>
      <c r="K58" s="1577">
        <f t="shared" si="16"/>
        <v>43221</v>
      </c>
      <c r="L58" s="1577">
        <f t="shared" si="16"/>
        <v>43191</v>
      </c>
      <c r="M58" s="1577">
        <f t="shared" si="16"/>
        <v>43160</v>
      </c>
      <c r="N58" s="1577">
        <f t="shared" si="16"/>
        <v>43132</v>
      </c>
      <c r="O58" s="1577">
        <f>EDATE(N58,-1)</f>
        <v>43101</v>
      </c>
      <c r="P58" s="1572"/>
    </row>
    <row r="59" spans="1:29" s="116" customFormat="1" ht="15">
      <c r="A59" s="508"/>
      <c r="B59" s="509"/>
      <c r="C59" s="1575">
        <v>100</v>
      </c>
      <c r="D59" s="511"/>
      <c r="E59" s="511"/>
      <c r="F59" s="511"/>
      <c r="G59" s="511"/>
      <c r="H59" s="511"/>
      <c r="I59" s="511"/>
      <c r="J59" s="511"/>
      <c r="K59" s="511"/>
      <c r="L59" s="511"/>
      <c r="M59" s="512"/>
      <c r="N59" s="511"/>
      <c r="O59" s="512"/>
      <c r="P59" s="2629"/>
    </row>
    <row r="60" spans="1:29" s="116" customFormat="1" ht="15.75" thickBot="1">
      <c r="A60" s="514" t="s">
        <v>2577</v>
      </c>
      <c r="B60" s="515"/>
      <c r="C60" s="516"/>
      <c r="D60" s="517"/>
      <c r="E60" s="517"/>
      <c r="F60" s="517"/>
      <c r="G60" s="517"/>
      <c r="H60" s="517"/>
      <c r="I60" s="517"/>
      <c r="J60" s="517"/>
      <c r="K60" s="517"/>
      <c r="L60" s="517"/>
      <c r="M60" s="518"/>
      <c r="N60" s="517"/>
      <c r="O60" s="518"/>
      <c r="P60" s="2629"/>
      <c r="Q60" s="503"/>
    </row>
    <row r="61" spans="1:29" s="116" customFormat="1" ht="15">
      <c r="A61" s="520" t="s">
        <v>2542</v>
      </c>
      <c r="B61" s="509"/>
      <c r="C61" s="521" t="s">
        <v>2644</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2580</v>
      </c>
      <c r="B63" s="527" t="s">
        <v>2546</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4"/>
      <c r="O65" s="1154"/>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1"/>
      <c r="Q66" s="503"/>
    </row>
    <row r="67" spans="1:17" ht="15.75" thickTop="1">
      <c r="A67" s="533"/>
      <c r="B67" s="545" t="s">
        <v>2550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2647</v>
      </c>
      <c r="C82" s="659" t="s">
        <v>2667</v>
      </c>
      <c r="D82" s="659" t="s">
        <v>2668</v>
      </c>
      <c r="E82" s="659" t="s">
        <v>2669</v>
      </c>
      <c r="F82" s="659" t="s">
        <v>2670</v>
      </c>
      <c r="G82" s="659" t="s">
        <v>2671</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2672</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6"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c r="D92" s="553"/>
      <c r="E92" s="553"/>
      <c r="F92" s="553"/>
      <c r="G92" s="553"/>
      <c r="H92" s="553"/>
      <c r="I92" s="553"/>
      <c r="J92" s="553"/>
      <c r="K92" s="553"/>
      <c r="L92" s="579"/>
      <c r="M92" s="580"/>
      <c r="N92" s="1154"/>
      <c r="O92" s="1154"/>
      <c r="P92" s="2631"/>
      <c r="Q92" s="503"/>
    </row>
    <row r="93" spans="1:17" ht="15.75" thickBot="1">
      <c r="A93" s="533"/>
      <c r="B93" s="542"/>
      <c r="C93" s="535"/>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2555</v>
      </c>
      <c r="B100" s="527" t="s">
        <v>2673</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15.75" thickTop="1">
      <c r="A102" s="533"/>
      <c r="B102" s="537" t="s">
        <v>2605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2"/>
      <c r="Q104" s="558"/>
    </row>
    <row r="105" spans="1:17" ht="15" thickTop="1">
      <c r="A105" s="598"/>
      <c r="B105" s="537" t="s">
        <v>2606</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2608</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1988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2610</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2674</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2675</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2676</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2677</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2612</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2520</v>
      </c>
      <c r="B1" s="2670" t="s">
        <v>2678</v>
      </c>
      <c r="C1" s="1622" t="s">
        <v>2522</v>
      </c>
      <c r="D1" s="1623"/>
      <c r="E1" s="1632"/>
      <c r="F1" s="2585"/>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2319</v>
      </c>
      <c r="B2" s="1420" t="e">
        <f ca="1">IF(C2="——",ROUND(C50*D3/10000,0),ROUND(C50*D3/10000,0)-D2)</f>
        <v>#DIV/0!</v>
      </c>
      <c r="C2" s="2587"/>
      <c r="D2" s="1367" t="e">
        <f ca="1">SUMIF(INDIRECT("'"&amp;F2&amp;"'"&amp;"!A:A"),"承租人权益价值",INDIRECT("'"&amp;F2&amp;"'"&amp;"!c:c"))</f>
        <v>#REF!</v>
      </c>
      <c r="E2" s="2588" t="s">
        <v>2320</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2321</v>
      </c>
      <c r="B3" s="608" t="e">
        <f ca="1">IF(C2="——",C50,ROUND(B2*10000/D3,0))</f>
        <v>#DIV/0!</v>
      </c>
      <c r="C3" s="399" t="s">
        <v>2636</v>
      </c>
      <c r="D3" s="398">
        <f>IF(D1="",'数据-汇总表'!E3,SUMIF('数据-汇总表'!$C19:$C33,D1,'数据-汇总表'!$E19:$E33))</f>
        <v>17987.810000000001</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2637</v>
      </c>
      <c r="B4" s="401"/>
      <c r="C4" s="3157" t="s">
        <v>2638</v>
      </c>
      <c r="D4" s="3185"/>
      <c r="E4" s="3186" t="s">
        <v>2639</v>
      </c>
      <c r="F4" s="3187"/>
      <c r="G4" s="3157" t="s">
        <v>2640</v>
      </c>
      <c r="H4" s="3185"/>
      <c r="I4" s="3157" t="s">
        <v>2641</v>
      </c>
      <c r="J4" s="3185"/>
      <c r="K4" s="609" t="s">
        <v>2642</v>
      </c>
      <c r="L4" s="1132"/>
      <c r="M4" s="1133"/>
      <c r="N4" s="1133"/>
      <c r="O4" s="1133"/>
      <c r="P4" s="3249" t="s">
        <v>2643</v>
      </c>
      <c r="Q4" s="3250"/>
      <c r="R4" s="3253" t="s">
        <v>2639</v>
      </c>
      <c r="S4" s="3254"/>
      <c r="T4" s="3253" t="s">
        <v>2640</v>
      </c>
      <c r="U4" s="3254"/>
      <c r="V4" s="3255" t="s">
        <v>2641</v>
      </c>
      <c r="W4" s="3255"/>
      <c r="X4" s="2671"/>
      <c r="Y4" s="3253" t="s">
        <v>2643</v>
      </c>
      <c r="Z4" s="3254"/>
      <c r="AA4" s="3257" t="s">
        <v>2639</v>
      </c>
      <c r="AB4" s="3257" t="s">
        <v>2640</v>
      </c>
      <c r="AC4" s="3246" t="s">
        <v>2641</v>
      </c>
    </row>
    <row r="5" spans="1:29" ht="15">
      <c r="A5" s="403"/>
      <c r="B5" s="404"/>
      <c r="C5" s="3168" t="s">
        <v>2534</v>
      </c>
      <c r="D5" s="3169"/>
      <c r="E5" s="3194" t="s">
        <v>2535</v>
      </c>
      <c r="F5" s="3195"/>
      <c r="G5" s="3168" t="s">
        <v>2536</v>
      </c>
      <c r="H5" s="3169"/>
      <c r="I5" s="3168" t="s">
        <v>2537</v>
      </c>
      <c r="J5" s="3169"/>
      <c r="K5" s="609"/>
      <c r="L5" s="1132"/>
      <c r="M5" s="1133"/>
      <c r="N5" s="1133"/>
      <c r="O5" s="1133"/>
      <c r="P5" s="3251"/>
      <c r="Q5" s="3191"/>
      <c r="R5" s="3166"/>
      <c r="S5" s="3167"/>
      <c r="T5" s="3166"/>
      <c r="U5" s="3167"/>
      <c r="V5" s="3178"/>
      <c r="W5" s="3178"/>
      <c r="X5" s="1815"/>
      <c r="Y5" s="3166"/>
      <c r="Z5" s="3167"/>
      <c r="AA5" s="3183"/>
      <c r="AB5" s="3183"/>
      <c r="AC5" s="3247"/>
    </row>
    <row r="6" spans="1:29" ht="15.75" thickBot="1">
      <c r="A6" s="405"/>
      <c r="B6" s="406"/>
      <c r="C6" s="3239" t="s">
        <v>2538</v>
      </c>
      <c r="D6" s="3240"/>
      <c r="E6" s="3241" t="s">
        <v>2538</v>
      </c>
      <c r="F6" s="3242"/>
      <c r="G6" s="3239" t="s">
        <v>2538</v>
      </c>
      <c r="H6" s="3240"/>
      <c r="I6" s="3239" t="s">
        <v>2538</v>
      </c>
      <c r="J6" s="3240"/>
      <c r="K6" s="609" t="s">
        <v>2539</v>
      </c>
      <c r="L6" s="1132"/>
      <c r="M6" s="1133"/>
      <c r="N6" s="1133"/>
      <c r="O6" s="1133"/>
      <c r="P6" s="3252"/>
      <c r="Q6" s="3193"/>
      <c r="R6" s="3166"/>
      <c r="S6" s="3167"/>
      <c r="T6" s="3176"/>
      <c r="U6" s="3177"/>
      <c r="V6" s="3178"/>
      <c r="W6" s="3178"/>
      <c r="X6" s="1815"/>
      <c r="Y6" s="3176"/>
      <c r="Z6" s="3177"/>
      <c r="AA6" s="3184"/>
      <c r="AB6" s="3184"/>
      <c r="AC6" s="3248"/>
    </row>
    <row r="7" spans="1:29" s="116" customFormat="1" ht="15.75" thickBot="1">
      <c r="A7" s="407" t="s">
        <v>2540</v>
      </c>
      <c r="B7" s="408"/>
      <c r="C7" s="409">
        <f>'数据-取费表'!B2</f>
        <v>43487</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6" t="s">
        <v>2541</v>
      </c>
      <c r="Q7" s="3172"/>
      <c r="R7" s="769" t="s">
        <v>17</v>
      </c>
      <c r="S7" s="770">
        <f t="shared" ref="S7:S15" si="0">F7</f>
        <v>0</v>
      </c>
      <c r="T7" s="769" t="s">
        <v>17</v>
      </c>
      <c r="U7" s="770">
        <f t="shared" ref="U7:U15" si="1">H7</f>
        <v>0</v>
      </c>
      <c r="V7" s="769" t="s">
        <v>17</v>
      </c>
      <c r="W7" s="770">
        <f t="shared" ref="W7:W15" si="2">J7</f>
        <v>0</v>
      </c>
      <c r="X7" s="771"/>
      <c r="Y7" s="3162" t="s">
        <v>2541</v>
      </c>
      <c r="Z7" s="3163"/>
      <c r="AA7" s="772" t="e">
        <f>D7/F7</f>
        <v>#DIV/0!</v>
      </c>
      <c r="AB7" s="772" t="e">
        <f>D7/H7</f>
        <v>#DIV/0!</v>
      </c>
      <c r="AC7" s="2672" t="e">
        <f>D7/J7</f>
        <v>#DIV/0!</v>
      </c>
    </row>
    <row r="8" spans="1:29" s="116"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6" t="s">
        <v>2544</v>
      </c>
      <c r="Q8" s="3163"/>
      <c r="R8" s="769" t="s">
        <v>17</v>
      </c>
      <c r="S8" s="770">
        <f t="shared" si="0"/>
        <v>0</v>
      </c>
      <c r="T8" s="769" t="s">
        <v>17</v>
      </c>
      <c r="U8" s="770">
        <f t="shared" si="1"/>
        <v>0</v>
      </c>
      <c r="V8" s="769" t="s">
        <v>17</v>
      </c>
      <c r="W8" s="770">
        <f t="shared" si="2"/>
        <v>0</v>
      </c>
      <c r="X8" s="771"/>
      <c r="Y8" s="3162" t="s">
        <v>2544</v>
      </c>
      <c r="Z8" s="3163"/>
      <c r="AA8" s="772" t="e">
        <f t="shared" ref="AA8:AA47" si="3">D8/F8</f>
        <v>#DIV/0!</v>
      </c>
      <c r="AB8" s="772" t="e">
        <f t="shared" ref="AB8:AB47" si="4">D8/H8</f>
        <v>#DIV/0!</v>
      </c>
      <c r="AC8" s="2672" t="e">
        <f t="shared" ref="AC8:AC47" si="5">D8/J8</f>
        <v>#DIV/0!</v>
      </c>
    </row>
    <row r="9" spans="1:29" s="116" customFormat="1">
      <c r="A9" s="414" t="s">
        <v>2545</v>
      </c>
      <c r="B9" s="71" t="s">
        <v>2546</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59" t="s">
        <v>2547</v>
      </c>
      <c r="Q9" s="1797" t="str">
        <f t="shared" ref="Q9:Q15" si="6">B9</f>
        <v>用途</v>
      </c>
      <c r="R9" s="769" t="s">
        <v>17</v>
      </c>
      <c r="S9" s="770">
        <f t="shared" si="0"/>
        <v>100</v>
      </c>
      <c r="T9" s="769" t="s">
        <v>17</v>
      </c>
      <c r="U9" s="770">
        <f t="shared" si="1"/>
        <v>100</v>
      </c>
      <c r="V9" s="769" t="s">
        <v>17</v>
      </c>
      <c r="W9" s="770">
        <f t="shared" si="2"/>
        <v>100</v>
      </c>
      <c r="X9" s="771"/>
      <c r="Y9" s="3015" t="s">
        <v>2548</v>
      </c>
      <c r="Z9" s="55" t="str">
        <f t="shared" ref="Z9:Z15" si="7">Q9</f>
        <v>用途</v>
      </c>
      <c r="AA9" s="772">
        <f t="shared" si="3"/>
        <v>1</v>
      </c>
      <c r="AB9" s="772">
        <f t="shared" si="4"/>
        <v>1</v>
      </c>
      <c r="AC9" s="2672">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59"/>
      <c r="Q10" s="1797"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2672">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59"/>
      <c r="Q11" s="1797" t="str">
        <f t="shared" si="6"/>
        <v>容积率</v>
      </c>
      <c r="R11" s="769" t="s">
        <v>17</v>
      </c>
      <c r="S11" s="770" t="e">
        <f t="shared" si="0"/>
        <v>#N/A</v>
      </c>
      <c r="T11" s="769" t="s">
        <v>17</v>
      </c>
      <c r="U11" s="770" t="e">
        <f t="shared" si="1"/>
        <v>#N/A</v>
      </c>
      <c r="V11" s="769" t="s">
        <v>17</v>
      </c>
      <c r="W11" s="770" t="e">
        <f t="shared" si="2"/>
        <v>#N/A</v>
      </c>
      <c r="X11" s="771"/>
      <c r="Y11" s="3015"/>
      <c r="Z11" s="55"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4"/>
      <c r="M12" s="1135"/>
      <c r="N12" s="1135"/>
      <c r="O12" s="1135"/>
      <c r="P12" s="3159"/>
      <c r="Q12" s="1797">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2"/>
      <c r="M13" s="1133"/>
      <c r="N13" s="1133"/>
      <c r="O13" s="1133"/>
      <c r="P13" s="3159"/>
      <c r="Q13" s="1797">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159"/>
      <c r="Q14" s="1797">
        <f t="shared" si="6"/>
        <v>111</v>
      </c>
      <c r="R14" s="769" t="s">
        <v>17</v>
      </c>
      <c r="S14" s="770">
        <f t="shared" si="0"/>
        <v>100</v>
      </c>
      <c r="T14" s="769" t="s">
        <v>17</v>
      </c>
      <c r="U14" s="770">
        <f t="shared" si="1"/>
        <v>100</v>
      </c>
      <c r="V14" s="769" t="s">
        <v>17</v>
      </c>
      <c r="W14" s="770">
        <f t="shared" si="2"/>
        <v>100</v>
      </c>
      <c r="X14" s="771"/>
      <c r="Y14" s="3015"/>
      <c r="Z14" s="55">
        <f t="shared" si="7"/>
        <v>111</v>
      </c>
      <c r="AA14" s="772">
        <f t="shared" si="3"/>
        <v>1</v>
      </c>
      <c r="AB14" s="772">
        <f t="shared" si="4"/>
        <v>1</v>
      </c>
      <c r="AC14" s="2672">
        <f t="shared" si="5"/>
        <v>1</v>
      </c>
    </row>
    <row r="15" spans="1:29" ht="71.25">
      <c r="A15" s="439" t="s">
        <v>2551</v>
      </c>
      <c r="B15" s="628" t="s">
        <v>2679</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37" t="s">
        <v>2552</v>
      </c>
      <c r="Q15" s="1812" t="str">
        <f t="shared" si="6"/>
        <v>办公集聚程度</v>
      </c>
      <c r="R15" s="773" t="s">
        <v>17</v>
      </c>
      <c r="S15" s="774">
        <f t="shared" si="0"/>
        <v>100</v>
      </c>
      <c r="T15" s="773" t="s">
        <v>17</v>
      </c>
      <c r="U15" s="774">
        <f t="shared" si="1"/>
        <v>100</v>
      </c>
      <c r="V15" s="773" t="s">
        <v>17</v>
      </c>
      <c r="W15" s="774">
        <f t="shared" si="2"/>
        <v>100</v>
      </c>
      <c r="X15" s="1815"/>
      <c r="Y15" s="3179" t="s">
        <v>2552</v>
      </c>
      <c r="Z15" s="1816" t="str">
        <f t="shared" si="7"/>
        <v>办公集聚程度</v>
      </c>
      <c r="AA15" s="1813">
        <f t="shared" si="3"/>
        <v>1</v>
      </c>
      <c r="AB15" s="1813">
        <f t="shared" si="4"/>
        <v>1</v>
      </c>
      <c r="AC15" s="2675">
        <f t="shared" si="5"/>
        <v>1</v>
      </c>
    </row>
    <row r="16" spans="1:29" ht="15">
      <c r="A16" s="427"/>
      <c r="B16" s="629"/>
      <c r="C16" s="2612"/>
      <c r="D16" s="447"/>
      <c r="E16" s="446"/>
      <c r="F16" s="447"/>
      <c r="G16" s="2612"/>
      <c r="H16" s="449"/>
      <c r="I16" s="446"/>
      <c r="J16" s="447"/>
      <c r="K16" s="614"/>
      <c r="L16" s="1142"/>
      <c r="M16" s="1133"/>
      <c r="N16" s="1133"/>
      <c r="O16" s="1133"/>
      <c r="P16" s="3238"/>
      <c r="Q16" s="1812"/>
      <c r="R16" s="773"/>
      <c r="S16" s="774"/>
      <c r="T16" s="773"/>
      <c r="U16" s="774"/>
      <c r="V16" s="773"/>
      <c r="W16" s="774"/>
      <c r="X16" s="1815"/>
      <c r="Y16" s="3180"/>
      <c r="Z16" s="1816"/>
      <c r="AA16" s="1813">
        <v>1</v>
      </c>
      <c r="AB16" s="1813">
        <v>1</v>
      </c>
      <c r="AC16" s="2675">
        <v>1</v>
      </c>
    </row>
    <row r="17" spans="1:29" ht="71.25">
      <c r="A17" s="427"/>
      <c r="B17" s="630" t="s">
        <v>2089</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8"/>
      <c r="Q17" s="1812" t="str">
        <f>B17</f>
        <v>交通便捷度</v>
      </c>
      <c r="R17" s="773" t="s">
        <v>17</v>
      </c>
      <c r="S17" s="774">
        <f>F17</f>
        <v>100</v>
      </c>
      <c r="T17" s="773" t="s">
        <v>17</v>
      </c>
      <c r="U17" s="774">
        <f>H17</f>
        <v>100</v>
      </c>
      <c r="V17" s="773" t="s">
        <v>17</v>
      </c>
      <c r="W17" s="774">
        <f>J17</f>
        <v>100</v>
      </c>
      <c r="X17" s="1815"/>
      <c r="Y17" s="3180"/>
      <c r="Z17" s="1816" t="str">
        <f>Q17</f>
        <v>交通便捷度</v>
      </c>
      <c r="AA17" s="1813">
        <f t="shared" si="3"/>
        <v>1</v>
      </c>
      <c r="AB17" s="1813">
        <f t="shared" si="4"/>
        <v>1</v>
      </c>
      <c r="AC17" s="2675">
        <f t="shared" si="5"/>
        <v>1</v>
      </c>
    </row>
    <row r="18" spans="1:29" ht="15">
      <c r="A18" s="427"/>
      <c r="B18" s="631"/>
      <c r="C18" s="2677"/>
      <c r="D18" s="449"/>
      <c r="E18" s="2610"/>
      <c r="F18" s="449"/>
      <c r="G18" s="2611"/>
      <c r="H18" s="447"/>
      <c r="I18" s="2611"/>
      <c r="J18" s="447"/>
      <c r="K18" s="614"/>
      <c r="L18" s="1142"/>
      <c r="M18" s="1133"/>
      <c r="N18" s="1133"/>
      <c r="O18" s="1133"/>
      <c r="P18" s="3238"/>
      <c r="Q18" s="1812"/>
      <c r="R18" s="773"/>
      <c r="S18" s="774"/>
      <c r="T18" s="773"/>
      <c r="U18" s="774"/>
      <c r="V18" s="773"/>
      <c r="W18" s="774"/>
      <c r="X18" s="1815"/>
      <c r="Y18" s="3180"/>
      <c r="Z18" s="1816"/>
      <c r="AA18" s="1813">
        <v>1</v>
      </c>
      <c r="AB18" s="1813">
        <v>1</v>
      </c>
      <c r="AC18" s="2675">
        <v>1</v>
      </c>
    </row>
    <row r="19" spans="1:29" ht="42.75">
      <c r="A19" s="427"/>
      <c r="B19" s="630" t="s">
        <v>2680</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8"/>
      <c r="Q19" s="1812" t="str">
        <f>B19</f>
        <v>公共配套设施</v>
      </c>
      <c r="R19" s="773" t="s">
        <v>17</v>
      </c>
      <c r="S19" s="774">
        <f>F19</f>
        <v>100</v>
      </c>
      <c r="T19" s="773" t="s">
        <v>17</v>
      </c>
      <c r="U19" s="774">
        <f>H19</f>
        <v>100</v>
      </c>
      <c r="V19" s="773" t="s">
        <v>17</v>
      </c>
      <c r="W19" s="774">
        <f>J19</f>
        <v>100</v>
      </c>
      <c r="X19" s="1815"/>
      <c r="Y19" s="3180"/>
      <c r="Z19" s="1816" t="str">
        <f>Q19</f>
        <v>公共配套设施</v>
      </c>
      <c r="AA19" s="1813">
        <f t="shared" si="3"/>
        <v>1</v>
      </c>
      <c r="AB19" s="1813">
        <f t="shared" si="4"/>
        <v>1</v>
      </c>
      <c r="AC19" s="2675">
        <f t="shared" si="5"/>
        <v>1</v>
      </c>
    </row>
    <row r="20" spans="1:29" ht="15">
      <c r="A20" s="427"/>
      <c r="B20" s="631"/>
      <c r="C20" s="2612"/>
      <c r="D20" s="447"/>
      <c r="E20" s="2605"/>
      <c r="F20" s="447"/>
      <c r="G20" s="2606"/>
      <c r="H20" s="447"/>
      <c r="I20" s="2606"/>
      <c r="J20" s="447"/>
      <c r="K20" s="614"/>
      <c r="L20" s="1142"/>
      <c r="M20" s="1133"/>
      <c r="N20" s="1133"/>
      <c r="O20" s="1133"/>
      <c r="P20" s="3238"/>
      <c r="Q20" s="1812"/>
      <c r="R20" s="773"/>
      <c r="S20" s="774"/>
      <c r="T20" s="773"/>
      <c r="U20" s="774"/>
      <c r="V20" s="773"/>
      <c r="W20" s="774"/>
      <c r="X20" s="1815"/>
      <c r="Y20" s="3180"/>
      <c r="Z20" s="1816"/>
      <c r="AA20" s="1813">
        <v>1</v>
      </c>
      <c r="AB20" s="1813">
        <v>1</v>
      </c>
      <c r="AC20" s="2675">
        <v>1</v>
      </c>
    </row>
    <row r="21" spans="1:29" ht="28.5">
      <c r="A21" s="427"/>
      <c r="B21" s="632" t="s">
        <v>2681</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8"/>
      <c r="Q21" s="1812" t="str">
        <f>B21</f>
        <v>基础设施水平</v>
      </c>
      <c r="R21" s="773" t="s">
        <v>17</v>
      </c>
      <c r="S21" s="774">
        <f>F21</f>
        <v>100</v>
      </c>
      <c r="T21" s="773" t="s">
        <v>17</v>
      </c>
      <c r="U21" s="774">
        <f>H21</f>
        <v>100</v>
      </c>
      <c r="V21" s="773" t="s">
        <v>17</v>
      </c>
      <c r="W21" s="774">
        <f>J21</f>
        <v>100</v>
      </c>
      <c r="X21" s="1815"/>
      <c r="Y21" s="3180"/>
      <c r="Z21" s="1816" t="str">
        <f>Q21</f>
        <v>基础设施水平</v>
      </c>
      <c r="AA21" s="1813">
        <f t="shared" ref="AA21" si="8">D21/F21</f>
        <v>1</v>
      </c>
      <c r="AB21" s="1813">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238"/>
      <c r="Q22" s="1812"/>
      <c r="R22" s="773"/>
      <c r="S22" s="774"/>
      <c r="T22" s="773"/>
      <c r="U22" s="774"/>
      <c r="V22" s="773"/>
      <c r="W22" s="774"/>
      <c r="X22" s="1815"/>
      <c r="Y22" s="3180"/>
      <c r="Z22" s="1816"/>
      <c r="AA22" s="1813">
        <v>1</v>
      </c>
      <c r="AB22" s="1813">
        <v>1</v>
      </c>
      <c r="AC22" s="2675">
        <v>1</v>
      </c>
    </row>
    <row r="23" spans="1:29" ht="42.75">
      <c r="A23" s="427"/>
      <c r="B23" s="630" t="s">
        <v>2682</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8"/>
      <c r="Q23" s="1812" t="str">
        <f>B23</f>
        <v>环境质量</v>
      </c>
      <c r="R23" s="773" t="s">
        <v>17</v>
      </c>
      <c r="S23" s="774">
        <f>F23</f>
        <v>100</v>
      </c>
      <c r="T23" s="773" t="s">
        <v>17</v>
      </c>
      <c r="U23" s="774">
        <f>H23</f>
        <v>100</v>
      </c>
      <c r="V23" s="773" t="s">
        <v>17</v>
      </c>
      <c r="W23" s="774">
        <f>J23</f>
        <v>100</v>
      </c>
      <c r="X23" s="1815"/>
      <c r="Y23" s="3180"/>
      <c r="Z23" s="1816" t="str">
        <f>Q23</f>
        <v>环境质量</v>
      </c>
      <c r="AA23" s="1813">
        <f t="shared" si="3"/>
        <v>1</v>
      </c>
      <c r="AB23" s="1813">
        <f t="shared" si="4"/>
        <v>1</v>
      </c>
      <c r="AC23" s="2675">
        <f t="shared" si="5"/>
        <v>1</v>
      </c>
    </row>
    <row r="24" spans="1:29" ht="15">
      <c r="A24" s="427"/>
      <c r="B24" s="632"/>
      <c r="C24" s="2612"/>
      <c r="D24" s="447"/>
      <c r="E24" s="2605"/>
      <c r="F24" s="447"/>
      <c r="G24" s="2606"/>
      <c r="H24" s="447"/>
      <c r="I24" s="2606"/>
      <c r="J24" s="447"/>
      <c r="K24" s="614"/>
      <c r="L24" s="1142"/>
      <c r="M24" s="1133"/>
      <c r="N24" s="1133"/>
      <c r="O24" s="1133"/>
      <c r="P24" s="3238"/>
      <c r="Q24" s="1812"/>
      <c r="R24" s="773"/>
      <c r="S24" s="774"/>
      <c r="T24" s="773"/>
      <c r="U24" s="774"/>
      <c r="V24" s="773"/>
      <c r="W24" s="774"/>
      <c r="X24" s="1815"/>
      <c r="Y24" s="3180"/>
      <c r="Z24" s="1816"/>
      <c r="AA24" s="1813">
        <v>1</v>
      </c>
      <c r="AB24" s="1813">
        <v>1</v>
      </c>
      <c r="AC24" s="2675">
        <v>1</v>
      </c>
    </row>
    <row r="25" spans="1:29" ht="27">
      <c r="A25" s="403"/>
      <c r="B25" s="630" t="s">
        <v>2683</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238"/>
      <c r="Q25" s="1812" t="str">
        <f>B25</f>
        <v>毗邻道路的类型与等级</v>
      </c>
      <c r="R25" s="773" t="s">
        <v>17</v>
      </c>
      <c r="S25" s="774">
        <f>F25</f>
        <v>100</v>
      </c>
      <c r="T25" s="773" t="s">
        <v>17</v>
      </c>
      <c r="U25" s="774">
        <f>H25</f>
        <v>100</v>
      </c>
      <c r="V25" s="773" t="s">
        <v>17</v>
      </c>
      <c r="W25" s="774">
        <f>J25</f>
        <v>100</v>
      </c>
      <c r="X25" s="1815"/>
      <c r="Y25" s="3180"/>
      <c r="Z25" s="1816" t="str">
        <f>Q25</f>
        <v>毗邻道路的类型与等级</v>
      </c>
      <c r="AA25" s="1813">
        <f t="shared" si="3"/>
        <v>1</v>
      </c>
      <c r="AB25" s="1813">
        <f t="shared" si="4"/>
        <v>1</v>
      </c>
      <c r="AC25" s="2675">
        <f t="shared" si="5"/>
        <v>1</v>
      </c>
    </row>
    <row r="26" spans="1:29" ht="15">
      <c r="A26" s="403"/>
      <c r="B26" s="631"/>
      <c r="C26" s="633"/>
      <c r="D26" s="434"/>
      <c r="E26" s="615"/>
      <c r="F26" s="434"/>
      <c r="G26" s="633"/>
      <c r="H26" s="434"/>
      <c r="I26" s="615"/>
      <c r="J26" s="434"/>
      <c r="K26" s="614"/>
      <c r="L26" s="1142"/>
      <c r="M26" s="1133"/>
      <c r="N26" s="1133"/>
      <c r="O26" s="1133"/>
      <c r="P26" s="3238"/>
      <c r="Q26" s="1812"/>
      <c r="R26" s="773"/>
      <c r="S26" s="774"/>
      <c r="T26" s="773"/>
      <c r="U26" s="774"/>
      <c r="V26" s="773"/>
      <c r="W26" s="774"/>
      <c r="X26" s="1815"/>
      <c r="Y26" s="3180"/>
      <c r="Z26" s="1816"/>
      <c r="AA26" s="1813">
        <v>1</v>
      </c>
      <c r="AB26" s="1813">
        <v>1</v>
      </c>
      <c r="AC26" s="2675">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8"/>
      <c r="Q27" s="1812" t="str">
        <f t="shared" ref="Q27:Q47" si="11">B27</f>
        <v>楼层</v>
      </c>
      <c r="R27" s="773" t="s">
        <v>17</v>
      </c>
      <c r="S27" s="774">
        <f>F27</f>
        <v>100</v>
      </c>
      <c r="T27" s="773" t="s">
        <v>17</v>
      </c>
      <c r="U27" s="774">
        <f>H27</f>
        <v>100</v>
      </c>
      <c r="V27" s="773" t="s">
        <v>17</v>
      </c>
      <c r="W27" s="774">
        <f>J27</f>
        <v>100</v>
      </c>
      <c r="X27" s="1815"/>
      <c r="Y27" s="3180"/>
      <c r="Z27" s="1816" t="str">
        <f>Q27</f>
        <v>楼层</v>
      </c>
      <c r="AA27" s="1813">
        <f t="shared" si="3"/>
        <v>1</v>
      </c>
      <c r="AB27" s="1813">
        <f t="shared" si="4"/>
        <v>1</v>
      </c>
      <c r="AC27" s="2675">
        <f t="shared" si="5"/>
        <v>1</v>
      </c>
    </row>
    <row r="28" spans="1:29" s="116" customFormat="1" ht="15">
      <c r="A28" s="430"/>
      <c r="B28" s="630" t="s">
        <v>2684</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238"/>
      <c r="Q28" s="1797" t="str">
        <f t="shared" si="11"/>
        <v>朝向</v>
      </c>
      <c r="R28" s="769" t="s">
        <v>17</v>
      </c>
      <c r="S28" s="770">
        <f>F28</f>
        <v>100</v>
      </c>
      <c r="T28" s="769" t="s">
        <v>17</v>
      </c>
      <c r="U28" s="770">
        <f>H28</f>
        <v>100</v>
      </c>
      <c r="V28" s="769" t="s">
        <v>17</v>
      </c>
      <c r="W28" s="770">
        <f>J28</f>
        <v>100</v>
      </c>
      <c r="X28" s="771"/>
      <c r="Y28" s="3180"/>
      <c r="Z28" s="55" t="str">
        <f>Q28</f>
        <v>朝向</v>
      </c>
      <c r="AA28" s="1813">
        <f>D28/F28</f>
        <v>1</v>
      </c>
      <c r="AB28" s="1813">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238"/>
      <c r="Q29" s="1812">
        <f t="shared" si="11"/>
        <v>111</v>
      </c>
      <c r="R29" s="773" t="s">
        <v>17</v>
      </c>
      <c r="S29" s="774">
        <f t="shared" ref="S29:S47" si="12">F29</f>
        <v>100</v>
      </c>
      <c r="T29" s="773" t="s">
        <v>17</v>
      </c>
      <c r="U29" s="774">
        <f t="shared" ref="U29:U47" si="13">H29</f>
        <v>100</v>
      </c>
      <c r="V29" s="773" t="s">
        <v>17</v>
      </c>
      <c r="W29" s="774">
        <f t="shared" ref="W29:W47" si="14">J29</f>
        <v>100</v>
      </c>
      <c r="X29" s="1815"/>
      <c r="Y29" s="3180"/>
      <c r="Z29" s="1816">
        <f t="shared" ref="Z29:Z47" si="15">Q29</f>
        <v>111</v>
      </c>
      <c r="AA29" s="1813">
        <f t="shared" si="3"/>
        <v>1</v>
      </c>
      <c r="AB29" s="1813">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238"/>
      <c r="Q30" s="1812">
        <f t="shared" si="11"/>
        <v>111</v>
      </c>
      <c r="R30" s="773" t="s">
        <v>17</v>
      </c>
      <c r="S30" s="774">
        <f t="shared" si="12"/>
        <v>100</v>
      </c>
      <c r="T30" s="773" t="s">
        <v>17</v>
      </c>
      <c r="U30" s="774">
        <f t="shared" si="13"/>
        <v>100</v>
      </c>
      <c r="V30" s="773" t="s">
        <v>17</v>
      </c>
      <c r="W30" s="774">
        <f t="shared" si="14"/>
        <v>100</v>
      </c>
      <c r="X30" s="1815"/>
      <c r="Y30" s="3180"/>
      <c r="Z30" s="1816">
        <f t="shared" si="15"/>
        <v>111</v>
      </c>
      <c r="AA30" s="1813">
        <f t="shared" si="3"/>
        <v>1</v>
      </c>
      <c r="AB30" s="1813">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238"/>
      <c r="Q31" s="1812">
        <f t="shared" si="11"/>
        <v>111</v>
      </c>
      <c r="R31" s="773" t="s">
        <v>17</v>
      </c>
      <c r="S31" s="774">
        <f t="shared" si="12"/>
        <v>100</v>
      </c>
      <c r="T31" s="773" t="s">
        <v>17</v>
      </c>
      <c r="U31" s="774">
        <f t="shared" si="13"/>
        <v>100</v>
      </c>
      <c r="V31" s="773" t="s">
        <v>17</v>
      </c>
      <c r="W31" s="774">
        <f t="shared" si="14"/>
        <v>100</v>
      </c>
      <c r="X31" s="1815"/>
      <c r="Y31" s="3180"/>
      <c r="Z31" s="1816">
        <f t="shared" si="15"/>
        <v>111</v>
      </c>
      <c r="AA31" s="1813">
        <f t="shared" si="3"/>
        <v>1</v>
      </c>
      <c r="AB31" s="1813">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238"/>
      <c r="Q32" s="1812">
        <f t="shared" si="11"/>
        <v>111</v>
      </c>
      <c r="R32" s="773" t="s">
        <v>17</v>
      </c>
      <c r="S32" s="774">
        <f t="shared" si="12"/>
        <v>100</v>
      </c>
      <c r="T32" s="773" t="s">
        <v>17</v>
      </c>
      <c r="U32" s="774">
        <f t="shared" si="13"/>
        <v>100</v>
      </c>
      <c r="V32" s="773" t="s">
        <v>17</v>
      </c>
      <c r="W32" s="774">
        <f t="shared" si="14"/>
        <v>100</v>
      </c>
      <c r="X32" s="1815"/>
      <c r="Y32" s="3180"/>
      <c r="Z32" s="1816">
        <f t="shared" si="15"/>
        <v>111</v>
      </c>
      <c r="AA32" s="1813">
        <f t="shared" si="3"/>
        <v>1</v>
      </c>
      <c r="AB32" s="1813">
        <f t="shared" si="4"/>
        <v>1</v>
      </c>
      <c r="AC32" s="2675">
        <f t="shared" si="5"/>
        <v>1</v>
      </c>
    </row>
    <row r="33" spans="1:29" ht="15">
      <c r="A33" s="439" t="s">
        <v>2555</v>
      </c>
      <c r="B33" s="71" t="s">
        <v>2685</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233" t="s">
        <v>2557</v>
      </c>
      <c r="Q33" s="1812" t="str">
        <f t="shared" si="11"/>
        <v>建筑类型</v>
      </c>
      <c r="R33" s="773" t="s">
        <v>17</v>
      </c>
      <c r="S33" s="774">
        <f t="shared" si="12"/>
        <v>100</v>
      </c>
      <c r="T33" s="773" t="s">
        <v>17</v>
      </c>
      <c r="U33" s="774">
        <f t="shared" si="13"/>
        <v>100</v>
      </c>
      <c r="V33" s="773" t="s">
        <v>17</v>
      </c>
      <c r="W33" s="774">
        <f t="shared" si="14"/>
        <v>100</v>
      </c>
      <c r="X33" s="1815"/>
      <c r="Y33" s="3181" t="s">
        <v>2557</v>
      </c>
      <c r="Z33" s="1816" t="str">
        <f t="shared" si="15"/>
        <v>建筑类型</v>
      </c>
      <c r="AA33" s="1813">
        <f t="shared" si="3"/>
        <v>1</v>
      </c>
      <c r="AB33" s="1813">
        <f t="shared" si="4"/>
        <v>1</v>
      </c>
      <c r="AC33" s="2675">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34"/>
      <c r="Q34" s="775" t="str">
        <f t="shared" si="11"/>
        <v>项目建筑规模</v>
      </c>
      <c r="R34" s="776" t="s">
        <v>17</v>
      </c>
      <c r="S34" s="777" t="e">
        <f t="shared" si="12"/>
        <v>#N/A</v>
      </c>
      <c r="T34" s="776" t="s">
        <v>17</v>
      </c>
      <c r="U34" s="777" t="e">
        <f t="shared" si="13"/>
        <v>#N/A</v>
      </c>
      <c r="V34" s="776" t="s">
        <v>17</v>
      </c>
      <c r="W34" s="777" t="e">
        <f t="shared" si="14"/>
        <v>#N/A</v>
      </c>
      <c r="X34" s="778"/>
      <c r="Y34" s="3181"/>
      <c r="Z34" s="779" t="str">
        <f t="shared" si="15"/>
        <v>项目建筑规模</v>
      </c>
      <c r="AA34" s="1813" t="e">
        <f t="shared" si="3"/>
        <v>#N/A</v>
      </c>
      <c r="AB34" s="1813" t="e">
        <f t="shared" si="4"/>
        <v>#N/A</v>
      </c>
      <c r="AC34" s="2675"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4"/>
      <c r="Q35" s="1812" t="str">
        <f t="shared" si="11"/>
        <v>建筑结构</v>
      </c>
      <c r="R35" s="773" t="s">
        <v>17</v>
      </c>
      <c r="S35" s="774">
        <f t="shared" si="12"/>
        <v>100</v>
      </c>
      <c r="T35" s="773" t="s">
        <v>17</v>
      </c>
      <c r="U35" s="774">
        <f t="shared" si="13"/>
        <v>100</v>
      </c>
      <c r="V35" s="773" t="s">
        <v>17</v>
      </c>
      <c r="W35" s="774">
        <f t="shared" si="14"/>
        <v>100</v>
      </c>
      <c r="X35" s="1815"/>
      <c r="Y35" s="3181"/>
      <c r="Z35" s="1816" t="str">
        <f t="shared" si="15"/>
        <v>建筑结构</v>
      </c>
      <c r="AA35" s="1813">
        <f t="shared" si="3"/>
        <v>1</v>
      </c>
      <c r="AB35" s="1813">
        <f t="shared" si="4"/>
        <v>1</v>
      </c>
      <c r="AC35" s="2675">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4"/>
      <c r="Q36" s="1812" t="str">
        <f t="shared" si="11"/>
        <v>公共部分装修</v>
      </c>
      <c r="R36" s="773" t="s">
        <v>17</v>
      </c>
      <c r="S36" s="774">
        <f t="shared" si="12"/>
        <v>100</v>
      </c>
      <c r="T36" s="773" t="s">
        <v>17</v>
      </c>
      <c r="U36" s="774">
        <f t="shared" si="13"/>
        <v>100</v>
      </c>
      <c r="V36" s="773" t="s">
        <v>17</v>
      </c>
      <c r="W36" s="774">
        <f t="shared" si="14"/>
        <v>100</v>
      </c>
      <c r="X36" s="1815"/>
      <c r="Y36" s="3181"/>
      <c r="Z36" s="1816" t="str">
        <f t="shared" si="15"/>
        <v>公共部分装修</v>
      </c>
      <c r="AA36" s="1813">
        <f t="shared" si="3"/>
        <v>1</v>
      </c>
      <c r="AB36" s="1813">
        <f t="shared" si="4"/>
        <v>1</v>
      </c>
      <c r="AC36" s="2675">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4"/>
      <c r="Q37" s="1812" t="str">
        <f t="shared" si="11"/>
        <v>成新度</v>
      </c>
      <c r="R37" s="773" t="s">
        <v>17</v>
      </c>
      <c r="S37" s="774" t="e">
        <f t="shared" si="12"/>
        <v>#N/A</v>
      </c>
      <c r="T37" s="773" t="s">
        <v>17</v>
      </c>
      <c r="U37" s="774" t="e">
        <f t="shared" si="13"/>
        <v>#N/A</v>
      </c>
      <c r="V37" s="773" t="s">
        <v>17</v>
      </c>
      <c r="W37" s="774" t="e">
        <f t="shared" si="14"/>
        <v>#N/A</v>
      </c>
      <c r="X37" s="1815"/>
      <c r="Y37" s="3181"/>
      <c r="Z37" s="1816" t="str">
        <f t="shared" si="15"/>
        <v>成新度</v>
      </c>
      <c r="AA37" s="1813" t="e">
        <f t="shared" si="3"/>
        <v>#N/A</v>
      </c>
      <c r="AB37" s="1813" t="e">
        <f t="shared" si="4"/>
        <v>#N/A</v>
      </c>
      <c r="AC37" s="2675" t="e">
        <f t="shared" si="5"/>
        <v>#N/A</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4"/>
      <c r="Q38" s="1797" t="str">
        <f t="shared" si="11"/>
        <v>写字楼等级</v>
      </c>
      <c r="R38" s="769" t="s">
        <v>17</v>
      </c>
      <c r="S38" s="770">
        <f t="shared" si="12"/>
        <v>100</v>
      </c>
      <c r="T38" s="769" t="s">
        <v>17</v>
      </c>
      <c r="U38" s="770">
        <f t="shared" si="13"/>
        <v>100</v>
      </c>
      <c r="V38" s="769" t="s">
        <v>17</v>
      </c>
      <c r="W38" s="770">
        <f t="shared" si="14"/>
        <v>100</v>
      </c>
      <c r="X38" s="771"/>
      <c r="Y38" s="3181"/>
      <c r="Z38" s="55" t="str">
        <f t="shared" si="15"/>
        <v>写字楼等级</v>
      </c>
      <c r="AA38" s="772">
        <f t="shared" si="3"/>
        <v>1</v>
      </c>
      <c r="AB38" s="772">
        <f t="shared" si="4"/>
        <v>1</v>
      </c>
      <c r="AC38" s="2672">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4" t="s">
        <v>2557</v>
      </c>
      <c r="Q39" s="1812" t="str">
        <f t="shared" si="11"/>
        <v>物业管理</v>
      </c>
      <c r="R39" s="773" t="s">
        <v>17</v>
      </c>
      <c r="S39" s="774">
        <f t="shared" si="12"/>
        <v>100</v>
      </c>
      <c r="T39" s="773" t="s">
        <v>17</v>
      </c>
      <c r="U39" s="774">
        <f t="shared" si="13"/>
        <v>100</v>
      </c>
      <c r="V39" s="773" t="s">
        <v>17</v>
      </c>
      <c r="W39" s="774">
        <f t="shared" si="14"/>
        <v>100</v>
      </c>
      <c r="X39" s="1815"/>
      <c r="Y39" s="3181" t="s">
        <v>2557</v>
      </c>
      <c r="Z39" s="1816" t="str">
        <f t="shared" si="15"/>
        <v>物业管理</v>
      </c>
      <c r="AA39" s="1813">
        <f t="shared" si="3"/>
        <v>1</v>
      </c>
      <c r="AB39" s="1813">
        <f t="shared" si="4"/>
        <v>1</v>
      </c>
      <c r="AC39" s="2675">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4"/>
      <c r="Q40" s="1812" t="str">
        <f t="shared" si="11"/>
        <v>市政基础设施</v>
      </c>
      <c r="R40" s="773" t="s">
        <v>17</v>
      </c>
      <c r="S40" s="774">
        <f t="shared" si="12"/>
        <v>100</v>
      </c>
      <c r="T40" s="773" t="s">
        <v>17</v>
      </c>
      <c r="U40" s="774">
        <f t="shared" si="13"/>
        <v>100</v>
      </c>
      <c r="V40" s="773" t="s">
        <v>17</v>
      </c>
      <c r="W40" s="774">
        <f t="shared" si="14"/>
        <v>100</v>
      </c>
      <c r="X40" s="1815"/>
      <c r="Y40" s="3181"/>
      <c r="Z40" s="1816" t="str">
        <f t="shared" si="15"/>
        <v>市政基础设施</v>
      </c>
      <c r="AA40" s="1813">
        <f t="shared" si="3"/>
        <v>1</v>
      </c>
      <c r="AB40" s="1813">
        <f t="shared" si="4"/>
        <v>1</v>
      </c>
      <c r="AC40" s="2675">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4"/>
      <c r="Q41" s="1812" t="str">
        <f t="shared" si="11"/>
        <v>层高</v>
      </c>
      <c r="R41" s="773" t="s">
        <v>17</v>
      </c>
      <c r="S41" s="774">
        <f t="shared" si="12"/>
        <v>100</v>
      </c>
      <c r="T41" s="773" t="s">
        <v>17</v>
      </c>
      <c r="U41" s="774">
        <f t="shared" si="13"/>
        <v>100</v>
      </c>
      <c r="V41" s="773" t="s">
        <v>17</v>
      </c>
      <c r="W41" s="774">
        <f t="shared" si="14"/>
        <v>100</v>
      </c>
      <c r="X41" s="1815"/>
      <c r="Y41" s="3181"/>
      <c r="Z41" s="1816" t="str">
        <f t="shared" si="15"/>
        <v>层高</v>
      </c>
      <c r="AA41" s="1813">
        <f t="shared" si="3"/>
        <v>1</v>
      </c>
      <c r="AB41" s="1813">
        <f t="shared" si="4"/>
        <v>1</v>
      </c>
      <c r="AC41" s="2675">
        <f t="shared" si="5"/>
        <v>1</v>
      </c>
    </row>
    <row r="42" spans="1:29" s="470" customFormat="1" ht="15">
      <c r="A42" s="467"/>
      <c r="B42" s="1814"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4"/>
      <c r="Q42" s="775" t="str">
        <f t="shared" si="11"/>
        <v>单套建筑面积</v>
      </c>
      <c r="R42" s="776" t="s">
        <v>17</v>
      </c>
      <c r="S42" s="777">
        <f t="shared" si="12"/>
        <v>100</v>
      </c>
      <c r="T42" s="776" t="s">
        <v>17</v>
      </c>
      <c r="U42" s="777">
        <f t="shared" si="13"/>
        <v>100</v>
      </c>
      <c r="V42" s="776" t="s">
        <v>17</v>
      </c>
      <c r="W42" s="777">
        <f t="shared" si="14"/>
        <v>100</v>
      </c>
      <c r="X42" s="778"/>
      <c r="Y42" s="3181"/>
      <c r="Z42" s="779" t="str">
        <f t="shared" si="15"/>
        <v>单套建筑面积</v>
      </c>
      <c r="AA42" s="1813">
        <f t="shared" si="3"/>
        <v>1</v>
      </c>
      <c r="AB42" s="1813">
        <f t="shared" si="4"/>
        <v>1</v>
      </c>
      <c r="AC42" s="2675">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4"/>
      <c r="Q43" s="1812" t="str">
        <f t="shared" si="11"/>
        <v>内部装修</v>
      </c>
      <c r="R43" s="773" t="s">
        <v>17</v>
      </c>
      <c r="S43" s="774">
        <f t="shared" si="12"/>
        <v>100</v>
      </c>
      <c r="T43" s="773" t="s">
        <v>17</v>
      </c>
      <c r="U43" s="774">
        <f t="shared" si="13"/>
        <v>100</v>
      </c>
      <c r="V43" s="773" t="s">
        <v>17</v>
      </c>
      <c r="W43" s="774">
        <f t="shared" si="14"/>
        <v>100</v>
      </c>
      <c r="X43" s="1815"/>
      <c r="Y43" s="3181"/>
      <c r="Z43" s="1816" t="str">
        <f t="shared" si="15"/>
        <v>内部装修</v>
      </c>
      <c r="AA43" s="1813">
        <f t="shared" si="3"/>
        <v>1</v>
      </c>
      <c r="AB43" s="1813">
        <f t="shared" si="4"/>
        <v>1</v>
      </c>
      <c r="AC43" s="2675">
        <f t="shared" si="5"/>
        <v>1</v>
      </c>
    </row>
    <row r="44" spans="1:29" ht="15">
      <c r="A44" s="471"/>
      <c r="B44" s="421" t="s">
        <v>2568</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234"/>
      <c r="Q44" s="1812" t="str">
        <f t="shared" si="11"/>
        <v>内部装修维护情况</v>
      </c>
      <c r="R44" s="773" t="s">
        <v>17</v>
      </c>
      <c r="S44" s="774">
        <f t="shared" si="12"/>
        <v>100</v>
      </c>
      <c r="T44" s="773" t="s">
        <v>17</v>
      </c>
      <c r="U44" s="774">
        <f t="shared" si="13"/>
        <v>100</v>
      </c>
      <c r="V44" s="773" t="s">
        <v>17</v>
      </c>
      <c r="W44" s="774">
        <f t="shared" si="14"/>
        <v>100</v>
      </c>
      <c r="X44" s="1815"/>
      <c r="Y44" s="3181"/>
      <c r="Z44" s="1816" t="str">
        <f t="shared" si="15"/>
        <v>内部装修维护情况</v>
      </c>
      <c r="AA44" s="1813">
        <f t="shared" si="3"/>
        <v>1</v>
      </c>
      <c r="AB44" s="1813">
        <f t="shared" si="4"/>
        <v>1</v>
      </c>
      <c r="AC44" s="2675">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4"/>
      <c r="Q45" s="1797">
        <f t="shared" si="11"/>
        <v>111</v>
      </c>
      <c r="R45" s="769" t="s">
        <v>17</v>
      </c>
      <c r="S45" s="770">
        <f t="shared" si="12"/>
        <v>100</v>
      </c>
      <c r="T45" s="769" t="s">
        <v>17</v>
      </c>
      <c r="U45" s="770">
        <f t="shared" si="13"/>
        <v>100</v>
      </c>
      <c r="V45" s="769" t="s">
        <v>17</v>
      </c>
      <c r="W45" s="770">
        <f t="shared" si="14"/>
        <v>100</v>
      </c>
      <c r="X45" s="771"/>
      <c r="Y45" s="3181"/>
      <c r="Z45" s="55">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4"/>
      <c r="Q46" s="1812">
        <f t="shared" si="11"/>
        <v>111</v>
      </c>
      <c r="R46" s="773" t="s">
        <v>17</v>
      </c>
      <c r="S46" s="774">
        <f t="shared" si="12"/>
        <v>100</v>
      </c>
      <c r="T46" s="773" t="s">
        <v>17</v>
      </c>
      <c r="U46" s="774">
        <f t="shared" si="13"/>
        <v>100</v>
      </c>
      <c r="V46" s="773" t="s">
        <v>17</v>
      </c>
      <c r="W46" s="774">
        <f t="shared" si="14"/>
        <v>100</v>
      </c>
      <c r="X46" s="1815"/>
      <c r="Y46" s="3181"/>
      <c r="Z46" s="1816">
        <f t="shared" si="15"/>
        <v>111</v>
      </c>
      <c r="AA46" s="1813">
        <f t="shared" si="3"/>
        <v>1</v>
      </c>
      <c r="AB46" s="1813">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5"/>
      <c r="Q47" s="1812">
        <f t="shared" si="11"/>
        <v>111</v>
      </c>
      <c r="R47" s="773" t="s">
        <v>17</v>
      </c>
      <c r="S47" s="774">
        <f t="shared" si="12"/>
        <v>100</v>
      </c>
      <c r="T47" s="773" t="s">
        <v>17</v>
      </c>
      <c r="U47" s="774">
        <f t="shared" si="13"/>
        <v>100</v>
      </c>
      <c r="V47" s="773" t="s">
        <v>17</v>
      </c>
      <c r="W47" s="774">
        <f t="shared" si="14"/>
        <v>100</v>
      </c>
      <c r="X47" s="1815"/>
      <c r="Y47" s="3236"/>
      <c r="Z47" s="1816">
        <f t="shared" si="15"/>
        <v>111</v>
      </c>
      <c r="AA47" s="1813">
        <f t="shared" si="3"/>
        <v>1</v>
      </c>
      <c r="AB47" s="1813">
        <f t="shared" si="4"/>
        <v>1</v>
      </c>
      <c r="AC47" s="2675">
        <f t="shared" si="5"/>
        <v>1</v>
      </c>
    </row>
    <row r="48" spans="1:29" ht="15">
      <c r="A48" s="478" t="s">
        <v>2569</v>
      </c>
      <c r="B48" s="479"/>
      <c r="C48" s="1409" t="s">
        <v>1</v>
      </c>
      <c r="D48" s="1410"/>
      <c r="E48" s="1411"/>
      <c r="F48" s="1412"/>
      <c r="G48" s="1413"/>
      <c r="H48" s="1414"/>
      <c r="I48" s="1411"/>
      <c r="J48" s="484"/>
      <c r="K48" s="782"/>
      <c r="L48" s="1145"/>
      <c r="M48" s="1133"/>
      <c r="N48" s="1133"/>
      <c r="O48" s="1133"/>
      <c r="P48" s="3159" t="str">
        <f>A48</f>
        <v>成交单价（元/平方米）</v>
      </c>
      <c r="Q48" s="3160"/>
      <c r="R48" s="3232">
        <f>E48</f>
        <v>0</v>
      </c>
      <c r="S48" s="3232"/>
      <c r="T48" s="3232">
        <f>G48</f>
        <v>0</v>
      </c>
      <c r="U48" s="3232"/>
      <c r="V48" s="3232">
        <f>I48</f>
        <v>0</v>
      </c>
      <c r="W48" s="3232"/>
      <c r="X48" s="445"/>
      <c r="Y48" s="780"/>
      <c r="Z48" s="445"/>
      <c r="AA48" s="445"/>
      <c r="AB48" s="445"/>
      <c r="AC48" s="629"/>
    </row>
    <row r="49" spans="1:29" ht="15.75" thickBot="1">
      <c r="A49" s="485" t="s">
        <v>2661</v>
      </c>
      <c r="B49" s="486"/>
      <c r="C49" s="1415" t="e">
        <f>R50</f>
        <v>#DIV/0!</v>
      </c>
      <c r="D49" s="1416"/>
      <c r="E49" s="1417" t="e">
        <f>R49</f>
        <v>#DIV/0!</v>
      </c>
      <c r="F49" s="1417"/>
      <c r="G49" s="1415" t="e">
        <f>T49</f>
        <v>#DIV/0!</v>
      </c>
      <c r="H49" s="1416"/>
      <c r="I49" s="1417" t="e">
        <f>V49</f>
        <v>#DIV/0!</v>
      </c>
      <c r="J49" s="488"/>
      <c r="K49" s="783"/>
      <c r="L49" s="1145"/>
      <c r="M49" s="1133"/>
      <c r="N49" s="1133"/>
      <c r="O49" s="1133"/>
      <c r="P49" s="3159" t="str">
        <f>A49</f>
        <v>比较价值（元/平方米）</v>
      </c>
      <c r="Q49" s="3160"/>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5"/>
      <c r="Y49" s="445"/>
      <c r="Z49" s="445"/>
      <c r="AA49" s="445"/>
      <c r="AB49" s="445"/>
      <c r="AC49" s="629"/>
    </row>
    <row r="50" spans="1:29" ht="15.75" thickBot="1">
      <c r="A50" s="491" t="s">
        <v>2662</v>
      </c>
      <c r="B50" s="492"/>
      <c r="C50" s="1419" t="e">
        <f>R50</f>
        <v>#DIV/0!</v>
      </c>
      <c r="D50" s="1419"/>
      <c r="E50" s="1419"/>
      <c r="F50" s="1419"/>
      <c r="G50" s="1419"/>
      <c r="H50" s="1419"/>
      <c r="I50" s="1419"/>
      <c r="J50" s="493"/>
      <c r="K50" s="784"/>
      <c r="L50" s="1145"/>
      <c r="M50" s="1133"/>
      <c r="N50" s="1133"/>
      <c r="O50" s="1133"/>
      <c r="P50" s="3243" t="str">
        <f>A50</f>
        <v>估价对象XX用房的比较价值（楼面单价，元/平方米）</v>
      </c>
      <c r="Q50" s="3244"/>
      <c r="R50" s="3245" t="e">
        <f>IF(F1="售价",ROUND(AVERAGE(R49:V49),0),ROUND(AVERAGE(R49:V49),1))</f>
        <v>#DIV/0!</v>
      </c>
      <c r="S50" s="3245"/>
      <c r="T50" s="3245"/>
      <c r="U50" s="3245"/>
      <c r="V50" s="3245"/>
      <c r="W50" s="3245"/>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2666</v>
      </c>
      <c r="B58" s="758"/>
      <c r="C58" s="763"/>
      <c r="D58" s="763"/>
      <c r="E58" s="763"/>
      <c r="F58" s="764"/>
      <c r="G58" s="764"/>
      <c r="H58" s="763"/>
      <c r="I58" s="763"/>
      <c r="J58" s="763"/>
      <c r="K58" s="765"/>
      <c r="L58" s="1163"/>
      <c r="M58" s="1161"/>
      <c r="N58" s="1161"/>
      <c r="O58" s="1161"/>
      <c r="P58" s="2682"/>
      <c r="Q58" s="503"/>
    </row>
    <row r="59" spans="1:29" s="507" customFormat="1" ht="15">
      <c r="A59" s="504" t="s">
        <v>2540</v>
      </c>
      <c r="B59" s="505"/>
      <c r="C59" s="1576" t="str">
        <f>YEAR(C7)&amp;"-"&amp;MONTH(C7)</f>
        <v>2019-1</v>
      </c>
      <c r="D59" s="1577">
        <f>EDATE(C59,-1)</f>
        <v>43435</v>
      </c>
      <c r="E59" s="1577">
        <f>EDATE(D59,-1)</f>
        <v>43405</v>
      </c>
      <c r="F59" s="1577">
        <f t="shared" ref="F59:O59" si="16">EDATE(E59,-1)</f>
        <v>43374</v>
      </c>
      <c r="G59" s="1577">
        <f t="shared" si="16"/>
        <v>43344</v>
      </c>
      <c r="H59" s="1577">
        <f t="shared" si="16"/>
        <v>43313</v>
      </c>
      <c r="I59" s="1577">
        <f t="shared" si="16"/>
        <v>43282</v>
      </c>
      <c r="J59" s="1577">
        <f t="shared" si="16"/>
        <v>43252</v>
      </c>
      <c r="K59" s="1577">
        <f t="shared" si="16"/>
        <v>43221</v>
      </c>
      <c r="L59" s="1577">
        <f t="shared" si="16"/>
        <v>43191</v>
      </c>
      <c r="M59" s="1577">
        <f t="shared" si="16"/>
        <v>43160</v>
      </c>
      <c r="N59" s="1577">
        <f t="shared" si="16"/>
        <v>43132</v>
      </c>
      <c r="O59" s="1577">
        <f t="shared" si="16"/>
        <v>43101</v>
      </c>
      <c r="P59" s="1573"/>
    </row>
    <row r="60" spans="1:29" s="116" customFormat="1" ht="15">
      <c r="A60" s="508"/>
      <c r="B60" s="509"/>
      <c r="C60" s="1575">
        <v>100</v>
      </c>
      <c r="D60" s="511"/>
      <c r="E60" s="511"/>
      <c r="F60" s="511"/>
      <c r="G60" s="511"/>
      <c r="H60" s="511"/>
      <c r="I60" s="511"/>
      <c r="J60" s="511"/>
      <c r="K60" s="511"/>
      <c r="L60" s="511"/>
      <c r="M60" s="512"/>
      <c r="N60" s="511"/>
      <c r="O60" s="512"/>
      <c r="P60" s="2683"/>
    </row>
    <row r="61" spans="1:29" s="116" customFormat="1" ht="15.75" thickBot="1">
      <c r="A61" s="514" t="s">
        <v>2577</v>
      </c>
      <c r="B61" s="515"/>
      <c r="C61" s="516"/>
      <c r="D61" s="517"/>
      <c r="E61" s="517"/>
      <c r="F61" s="517"/>
      <c r="G61" s="517"/>
      <c r="H61" s="517"/>
      <c r="I61" s="517"/>
      <c r="J61" s="517"/>
      <c r="K61" s="517"/>
      <c r="L61" s="517"/>
      <c r="M61" s="518"/>
      <c r="N61" s="517"/>
      <c r="O61" s="518"/>
      <c r="P61" s="2683"/>
      <c r="Q61" s="503"/>
    </row>
    <row r="62" spans="1:29" s="116" customFormat="1" ht="15">
      <c r="A62" s="520" t="s">
        <v>2542</v>
      </c>
      <c r="B62" s="509"/>
      <c r="C62" s="521" t="s">
        <v>2644</v>
      </c>
      <c r="D62" s="522"/>
      <c r="E62" s="522"/>
      <c r="F62" s="522"/>
      <c r="G62" s="522"/>
      <c r="H62" s="522"/>
      <c r="I62" s="522"/>
      <c r="J62" s="522"/>
      <c r="K62" s="522"/>
      <c r="L62" s="523"/>
      <c r="M62" s="524"/>
      <c r="N62" s="1153"/>
      <c r="O62" s="1153"/>
      <c r="P62" s="2684"/>
      <c r="Q62" s="503"/>
    </row>
    <row r="63" spans="1:29" s="116"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2580</v>
      </c>
      <c r="B64" s="527" t="s">
        <v>2546</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4"/>
      <c r="O66" s="1154"/>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2550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2681</v>
      </c>
      <c r="C83" s="659" t="s">
        <v>2667</v>
      </c>
      <c r="D83" s="659" t="s">
        <v>2668</v>
      </c>
      <c r="E83" s="659" t="s">
        <v>2669</v>
      </c>
      <c r="F83" s="659" t="s">
        <v>2670</v>
      </c>
      <c r="G83" s="659" t="s">
        <v>2671</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6" customFormat="1" ht="27.75" thickTop="1">
      <c r="A87" s="578"/>
      <c r="B87" s="537" t="s">
        <v>2691</v>
      </c>
      <c r="C87" s="553"/>
      <c r="D87" s="553"/>
      <c r="E87" s="553"/>
      <c r="F87" s="553"/>
      <c r="G87" s="553"/>
      <c r="H87" s="553"/>
      <c r="I87" s="553"/>
      <c r="J87" s="553"/>
      <c r="K87" s="553"/>
      <c r="L87" s="579"/>
      <c r="M87" s="580"/>
      <c r="N87" s="1153"/>
      <c r="O87" s="1153"/>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6"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2555</v>
      </c>
      <c r="B101" s="527" t="s">
        <v>2604</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2605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2606</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2608</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1988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2692</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2609</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2610</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2693</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2676</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2612</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保定通美晶体制造有限责任公司：</v>
      </c>
    </row>
    <row r="4" spans="1:1" ht="36">
      <c r="A4" s="1950" t="str">
        <f>"受贵公司委托，我公司对"&amp;项目基本情况!S1&amp;"进行了预评估。"</f>
        <v>受贵公司委托，我公司对河北省保定市定兴县新107国道东侧房地产抵押价值进行了预评估。</v>
      </c>
    </row>
    <row r="5" spans="1:1" ht="18.75">
      <c r="A5" s="1951" t="s">
        <v>1608</v>
      </c>
    </row>
    <row r="6" spans="1:1" ht="18.75">
      <c r="A6" s="1952" t="s">
        <v>1609</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定兴县新107国道东侧房地产，为所有。根据《国有土地使用证》[]，估价对象（分摊）出让国有建设用地使用权面积为25697.15平方米。根据《房屋所有权证》[]、《测绘报告》[]，估价对象建筑面积为17987.81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定兴县新107国道东侧房地产,属开发建设的工业项目，该项目尚在开发建设中。根据《国有土地使用证》[]，估价对象（分摊）出让国有建设用地使用权面积为25697.15平方米。根据《房屋所有权证》[]、《测绘报告》[]，估价对象规划建筑面积为17987.81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2019年1月22日（评估专业人员实地查勘之日）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1605</v>
      </c>
    </row>
    <row r="24" spans="1:1" ht="18">
      <c r="A24" s="1957" t="str">
        <f>"本次评估采用的主估价方法为"&amp;结果表!K4&amp;"和"&amp;结果表!L4&amp;"。"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2520</v>
      </c>
      <c r="B1" s="2670" t="s">
        <v>2694</v>
      </c>
      <c r="C1" s="1622" t="s">
        <v>2522</v>
      </c>
      <c r="D1" s="1623"/>
      <c r="E1" s="1632"/>
      <c r="F1" s="2585"/>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2319</v>
      </c>
      <c r="B2" s="1420" t="e">
        <f ca="1">IF(C2="——",ROUND(C43*D3/10000,0),ROUND(C43*D3/10000,0)-D2)</f>
        <v>#DIV/0!</v>
      </c>
      <c r="C2" s="2587"/>
      <c r="D2" s="1126" t="e">
        <f ca="1">SUMIF(INDIRECT("'"&amp;F2&amp;"'"&amp;"!A:A"),"承租人权益价值",INDIRECT("'"&amp;F2&amp;"'"&amp;"!c:c"))</f>
        <v>#REF!</v>
      </c>
      <c r="E2" s="2588" t="s">
        <v>2320</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2321</v>
      </c>
      <c r="B3" s="608" t="e">
        <f ca="1">IF(C2="——",C43,ROUND(B2*10000/D3,0))</f>
        <v>#DIV/0!</v>
      </c>
      <c r="C3" s="399" t="s">
        <v>2636</v>
      </c>
      <c r="D3" s="398">
        <f>IF(D1="",'数据-汇总表'!E3,SUMIF('数据-汇总表'!$C19:$C33,D1,'数据-汇总表'!$E19:$E33))</f>
        <v>17987.810000000001</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2637</v>
      </c>
      <c r="B4" s="401"/>
      <c r="C4" s="3157" t="s">
        <v>2638</v>
      </c>
      <c r="D4" s="3185"/>
      <c r="E4" s="3186" t="s">
        <v>2639</v>
      </c>
      <c r="F4" s="3187"/>
      <c r="G4" s="3157" t="s">
        <v>2640</v>
      </c>
      <c r="H4" s="3185"/>
      <c r="I4" s="3157" t="s">
        <v>2641</v>
      </c>
      <c r="J4" s="3185"/>
      <c r="K4" s="609" t="s">
        <v>2642</v>
      </c>
      <c r="L4" s="1132"/>
      <c r="M4" s="1133"/>
      <c r="N4" s="1133"/>
      <c r="O4" s="1133"/>
      <c r="P4" s="3188" t="s">
        <v>2643</v>
      </c>
      <c r="Q4" s="3189"/>
      <c r="R4" s="3164" t="s">
        <v>2639</v>
      </c>
      <c r="S4" s="3165"/>
      <c r="T4" s="3164" t="s">
        <v>2640</v>
      </c>
      <c r="U4" s="3165"/>
      <c r="V4" s="3178" t="s">
        <v>2641</v>
      </c>
      <c r="W4" s="3178"/>
      <c r="X4" s="1815"/>
      <c r="Y4" s="3164" t="s">
        <v>2643</v>
      </c>
      <c r="Z4" s="3165"/>
      <c r="AA4" s="3182" t="s">
        <v>2639</v>
      </c>
      <c r="AB4" s="3183" t="s">
        <v>2640</v>
      </c>
      <c r="AC4" s="3182" t="s">
        <v>2641</v>
      </c>
    </row>
    <row r="5" spans="1:29" ht="15">
      <c r="A5" s="403"/>
      <c r="B5" s="404"/>
      <c r="C5" s="3168" t="s">
        <v>2534</v>
      </c>
      <c r="D5" s="3169"/>
      <c r="E5" s="3194" t="s">
        <v>2535</v>
      </c>
      <c r="F5" s="3195"/>
      <c r="G5" s="3168" t="s">
        <v>2536</v>
      </c>
      <c r="H5" s="3169"/>
      <c r="I5" s="3168" t="s">
        <v>2537</v>
      </c>
      <c r="J5" s="3169"/>
      <c r="K5" s="609"/>
      <c r="L5" s="1132"/>
      <c r="M5" s="1133"/>
      <c r="N5" s="1133"/>
      <c r="O5" s="1133"/>
      <c r="P5" s="3190"/>
      <c r="Q5" s="3191"/>
      <c r="R5" s="3166"/>
      <c r="S5" s="3167"/>
      <c r="T5" s="3166"/>
      <c r="U5" s="3167"/>
      <c r="V5" s="3178"/>
      <c r="W5" s="3178"/>
      <c r="X5" s="1815"/>
      <c r="Y5" s="3166"/>
      <c r="Z5" s="3167"/>
      <c r="AA5" s="3183"/>
      <c r="AB5" s="3183"/>
      <c r="AC5" s="3183"/>
    </row>
    <row r="6" spans="1:29" ht="15.75" thickBot="1">
      <c r="A6" s="405"/>
      <c r="B6" s="406"/>
      <c r="C6" s="3239" t="s">
        <v>2538</v>
      </c>
      <c r="D6" s="3240"/>
      <c r="E6" s="3241" t="s">
        <v>2538</v>
      </c>
      <c r="F6" s="3242"/>
      <c r="G6" s="3239" t="s">
        <v>2538</v>
      </c>
      <c r="H6" s="3240"/>
      <c r="I6" s="3239" t="s">
        <v>2538</v>
      </c>
      <c r="J6" s="3240"/>
      <c r="K6" s="609" t="s">
        <v>2539</v>
      </c>
      <c r="L6" s="1132"/>
      <c r="M6" s="1133"/>
      <c r="N6" s="1133"/>
      <c r="O6" s="1133"/>
      <c r="P6" s="3192"/>
      <c r="Q6" s="3193"/>
      <c r="R6" s="3166"/>
      <c r="S6" s="3167"/>
      <c r="T6" s="3176"/>
      <c r="U6" s="3177"/>
      <c r="V6" s="3178"/>
      <c r="W6" s="3178"/>
      <c r="X6" s="1815"/>
      <c r="Y6" s="3176"/>
      <c r="Z6" s="3177"/>
      <c r="AA6" s="3184"/>
      <c r="AB6" s="3184"/>
      <c r="AC6" s="3184"/>
    </row>
    <row r="7" spans="1:29" s="116" customFormat="1" ht="15.75" thickBot="1">
      <c r="A7" s="407" t="s">
        <v>2540</v>
      </c>
      <c r="B7" s="408"/>
      <c r="C7" s="409">
        <f>'数据-取费表'!B2</f>
        <v>43487</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62" t="s">
        <v>2541</v>
      </c>
      <c r="Q7" s="3172"/>
      <c r="R7" s="769" t="s">
        <v>17</v>
      </c>
      <c r="S7" s="770">
        <f t="shared" ref="S7:S15" si="0">F7</f>
        <v>0</v>
      </c>
      <c r="T7" s="769" t="s">
        <v>17</v>
      </c>
      <c r="U7" s="770">
        <f t="shared" ref="U7:U15" si="1">H7</f>
        <v>0</v>
      </c>
      <c r="V7" s="769" t="s">
        <v>17</v>
      </c>
      <c r="W7" s="770">
        <f t="shared" ref="W7:W15" si="2">J7</f>
        <v>0</v>
      </c>
      <c r="X7" s="771"/>
      <c r="Y7" s="3162" t="s">
        <v>2541</v>
      </c>
      <c r="Z7" s="3163"/>
      <c r="AA7" s="772" t="e">
        <f>D7/F7</f>
        <v>#DIV/0!</v>
      </c>
      <c r="AB7" s="772" t="e">
        <f>D7/H7</f>
        <v>#DIV/0!</v>
      </c>
      <c r="AC7" s="772"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62" t="s">
        <v>2544</v>
      </c>
      <c r="Q8" s="3163"/>
      <c r="R8" s="769" t="s">
        <v>17</v>
      </c>
      <c r="S8" s="770">
        <f t="shared" si="0"/>
        <v>0</v>
      </c>
      <c r="T8" s="769" t="s">
        <v>17</v>
      </c>
      <c r="U8" s="770">
        <f t="shared" si="1"/>
        <v>0</v>
      </c>
      <c r="V8" s="769" t="s">
        <v>17</v>
      </c>
      <c r="W8" s="770">
        <f t="shared" si="2"/>
        <v>0</v>
      </c>
      <c r="X8" s="771"/>
      <c r="Y8" s="3162" t="s">
        <v>2544</v>
      </c>
      <c r="Z8" s="3163"/>
      <c r="AA8" s="772" t="e">
        <f t="shared" ref="AA8:AA40" si="3">D8/F8</f>
        <v>#DIV/0!</v>
      </c>
      <c r="AB8" s="772" t="e">
        <f t="shared" ref="AB8:AB40" si="4">D8/H8</f>
        <v>#DIV/0!</v>
      </c>
      <c r="AC8" s="772" t="e">
        <f t="shared" ref="AC8:AC40" si="5">D8/J8</f>
        <v>#DIV/0!</v>
      </c>
    </row>
    <row r="9" spans="1:29" s="116" customFormat="1">
      <c r="A9" s="414" t="s">
        <v>2545</v>
      </c>
      <c r="B9" s="71" t="s">
        <v>2546</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60" t="s">
        <v>2547</v>
      </c>
      <c r="Q9" s="1797" t="str">
        <f t="shared" ref="Q9:Q15" si="6">B9</f>
        <v>用途</v>
      </c>
      <c r="R9" s="769" t="s">
        <v>17</v>
      </c>
      <c r="S9" s="770">
        <f t="shared" si="0"/>
        <v>100</v>
      </c>
      <c r="T9" s="769" t="s">
        <v>17</v>
      </c>
      <c r="U9" s="770">
        <f t="shared" si="1"/>
        <v>100</v>
      </c>
      <c r="V9" s="769" t="s">
        <v>17</v>
      </c>
      <c r="W9" s="770">
        <f t="shared" si="2"/>
        <v>100</v>
      </c>
      <c r="X9" s="771"/>
      <c r="Y9" s="3015"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60"/>
      <c r="Q10" s="1797"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772">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60"/>
      <c r="Q11" s="1797" t="str">
        <f t="shared" si="6"/>
        <v>容积率</v>
      </c>
      <c r="R11" s="769" t="s">
        <v>17</v>
      </c>
      <c r="S11" s="770" t="e">
        <f t="shared" si="0"/>
        <v>#N/A</v>
      </c>
      <c r="T11" s="769" t="s">
        <v>17</v>
      </c>
      <c r="U11" s="770" t="e">
        <f t="shared" si="1"/>
        <v>#N/A</v>
      </c>
      <c r="V11" s="769" t="s">
        <v>17</v>
      </c>
      <c r="W11" s="770" t="e">
        <f t="shared" si="2"/>
        <v>#N/A</v>
      </c>
      <c r="X11" s="771"/>
      <c r="Y11" s="3015"/>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4"/>
      <c r="M12" s="1135"/>
      <c r="N12" s="1135"/>
      <c r="O12" s="1136"/>
      <c r="P12" s="3160"/>
      <c r="Q12" s="1797">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2"/>
      <c r="M13" s="1133"/>
      <c r="N13" s="1133"/>
      <c r="O13" s="1141"/>
      <c r="P13" s="3160"/>
      <c r="Q13" s="1797">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160"/>
      <c r="Q14" s="1797">
        <f t="shared" si="6"/>
        <v>111</v>
      </c>
      <c r="R14" s="769" t="s">
        <v>17</v>
      </c>
      <c r="S14" s="770">
        <f t="shared" si="0"/>
        <v>100</v>
      </c>
      <c r="T14" s="769" t="s">
        <v>17</v>
      </c>
      <c r="U14" s="770">
        <f t="shared" si="1"/>
        <v>100</v>
      </c>
      <c r="V14" s="769" t="s">
        <v>17</v>
      </c>
      <c r="W14" s="770">
        <f t="shared" si="2"/>
        <v>100</v>
      </c>
      <c r="X14" s="771"/>
      <c r="Y14" s="3015"/>
      <c r="Z14" s="55">
        <f t="shared" si="7"/>
        <v>111</v>
      </c>
      <c r="AA14" s="772">
        <f t="shared" si="3"/>
        <v>1</v>
      </c>
      <c r="AB14" s="772">
        <f t="shared" si="4"/>
        <v>1</v>
      </c>
      <c r="AC14" s="772">
        <f t="shared" si="5"/>
        <v>1</v>
      </c>
    </row>
    <row r="15" spans="1:29" ht="15">
      <c r="A15" s="439" t="s">
        <v>2551</v>
      </c>
      <c r="B15" s="69" t="s">
        <v>2695</v>
      </c>
      <c r="C15" s="2694" t="str">
        <f>估价对象房地状况!G3</f>
        <v>较好</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79" t="s">
        <v>2552</v>
      </c>
      <c r="Q15" s="1812" t="str">
        <f t="shared" si="6"/>
        <v>产业集聚程度</v>
      </c>
      <c r="R15" s="773" t="s">
        <v>17</v>
      </c>
      <c r="S15" s="774">
        <f t="shared" si="0"/>
        <v>100</v>
      </c>
      <c r="T15" s="773" t="s">
        <v>17</v>
      </c>
      <c r="U15" s="774">
        <f t="shared" si="1"/>
        <v>100</v>
      </c>
      <c r="V15" s="773" t="s">
        <v>17</v>
      </c>
      <c r="W15" s="774">
        <f t="shared" si="2"/>
        <v>100</v>
      </c>
      <c r="X15" s="1815"/>
      <c r="Y15" s="3179" t="s">
        <v>2552</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80"/>
      <c r="Q16" s="1812"/>
      <c r="R16" s="773"/>
      <c r="S16" s="774"/>
      <c r="T16" s="773"/>
      <c r="U16" s="774"/>
      <c r="V16" s="773"/>
      <c r="W16" s="774"/>
      <c r="X16" s="1815"/>
      <c r="Y16" s="3180"/>
      <c r="Z16" s="1816"/>
      <c r="AA16" s="1813">
        <v>1</v>
      </c>
      <c r="AB16" s="1813">
        <v>1</v>
      </c>
      <c r="AC16" s="1813">
        <v>1</v>
      </c>
    </row>
    <row r="17" spans="1:29" ht="15">
      <c r="A17" s="427"/>
      <c r="B17" s="450" t="s">
        <v>2089</v>
      </c>
      <c r="C17" s="2608" t="str">
        <f>估价对象房地状况!G4</f>
        <v>一般</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80"/>
      <c r="Q17" s="1812" t="str">
        <f>B17</f>
        <v>交通便捷度</v>
      </c>
      <c r="R17" s="773" t="s">
        <v>17</v>
      </c>
      <c r="S17" s="774">
        <f>F17</f>
        <v>100</v>
      </c>
      <c r="T17" s="773" t="s">
        <v>17</v>
      </c>
      <c r="U17" s="774">
        <f>H17</f>
        <v>100</v>
      </c>
      <c r="V17" s="773" t="s">
        <v>17</v>
      </c>
      <c r="W17" s="774">
        <f>J17</f>
        <v>100</v>
      </c>
      <c r="X17" s="1815"/>
      <c r="Y17" s="3180"/>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41"/>
      <c r="P18" s="3180"/>
      <c r="Q18" s="1812"/>
      <c r="R18" s="773"/>
      <c r="S18" s="774"/>
      <c r="T18" s="773"/>
      <c r="U18" s="774"/>
      <c r="V18" s="773"/>
      <c r="W18" s="774"/>
      <c r="X18" s="1815"/>
      <c r="Y18" s="3180"/>
      <c r="Z18" s="1816"/>
      <c r="AA18" s="1813">
        <v>1</v>
      </c>
      <c r="AB18" s="1813">
        <v>1</v>
      </c>
      <c r="AC18" s="1813">
        <v>1</v>
      </c>
    </row>
    <row r="19" spans="1:29" ht="15">
      <c r="A19" s="427"/>
      <c r="B19" s="450" t="s">
        <v>2680</v>
      </c>
      <c r="C19" s="2608" t="str">
        <f>估价对象房地状况!G5</f>
        <v>一般</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80"/>
      <c r="Q19" s="1812" t="str">
        <f>B19</f>
        <v>公共配套设施</v>
      </c>
      <c r="R19" s="773" t="s">
        <v>17</v>
      </c>
      <c r="S19" s="774">
        <f>F19</f>
        <v>100</v>
      </c>
      <c r="T19" s="773" t="s">
        <v>17</v>
      </c>
      <c r="U19" s="774">
        <f>H19</f>
        <v>100</v>
      </c>
      <c r="V19" s="773" t="s">
        <v>17</v>
      </c>
      <c r="W19" s="774">
        <f>J19</f>
        <v>100</v>
      </c>
      <c r="X19" s="1815"/>
      <c r="Y19" s="3180"/>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41"/>
      <c r="P20" s="3180"/>
      <c r="Q20" s="1812"/>
      <c r="R20" s="773"/>
      <c r="S20" s="774"/>
      <c r="T20" s="773"/>
      <c r="U20" s="774"/>
      <c r="V20" s="773"/>
      <c r="W20" s="774"/>
      <c r="X20" s="1815"/>
      <c r="Y20" s="3180"/>
      <c r="Z20" s="1816"/>
      <c r="AA20" s="1813">
        <v>1</v>
      </c>
      <c r="AB20" s="1813">
        <v>1</v>
      </c>
      <c r="AC20" s="1813">
        <v>1</v>
      </c>
    </row>
    <row r="21" spans="1:29" ht="15">
      <c r="A21" s="427"/>
      <c r="B21" s="1386" t="s">
        <v>2681</v>
      </c>
      <c r="C21" s="2608" t="str">
        <f>估价对象房地状况!G6</f>
        <v>五通</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80"/>
      <c r="Q21" s="1812" t="str">
        <f>B21</f>
        <v>基础设施水平</v>
      </c>
      <c r="R21" s="773" t="s">
        <v>17</v>
      </c>
      <c r="S21" s="774">
        <f>F21</f>
        <v>100</v>
      </c>
      <c r="T21" s="773" t="s">
        <v>17</v>
      </c>
      <c r="U21" s="774">
        <f>H21</f>
        <v>100</v>
      </c>
      <c r="V21" s="773" t="s">
        <v>17</v>
      </c>
      <c r="W21" s="774">
        <f>J21</f>
        <v>100</v>
      </c>
      <c r="X21" s="1815"/>
      <c r="Y21" s="3180"/>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41"/>
      <c r="P22" s="3180"/>
      <c r="Q22" s="1812"/>
      <c r="R22" s="773"/>
      <c r="S22" s="774"/>
      <c r="T22" s="773"/>
      <c r="U22" s="774"/>
      <c r="V22" s="773"/>
      <c r="W22" s="774"/>
      <c r="X22" s="1815"/>
      <c r="Y22" s="3180"/>
      <c r="Z22" s="1816"/>
      <c r="AA22" s="1813">
        <v>1</v>
      </c>
      <c r="AB22" s="1813">
        <v>1</v>
      </c>
      <c r="AC22" s="1813">
        <v>1</v>
      </c>
    </row>
    <row r="23" spans="1:29" ht="15">
      <c r="A23" s="427"/>
      <c r="B23" s="450" t="s">
        <v>2682</v>
      </c>
      <c r="C23" s="2608" t="str">
        <f>估价对象房地状况!G7</f>
        <v>一般</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80"/>
      <c r="Q23" s="1812" t="str">
        <f>B23</f>
        <v>环境质量</v>
      </c>
      <c r="R23" s="773" t="s">
        <v>17</v>
      </c>
      <c r="S23" s="774">
        <f>F23</f>
        <v>100</v>
      </c>
      <c r="T23" s="773" t="s">
        <v>17</v>
      </c>
      <c r="U23" s="774">
        <f>H23</f>
        <v>100</v>
      </c>
      <c r="V23" s="773" t="s">
        <v>17</v>
      </c>
      <c r="W23" s="774">
        <f>J23</f>
        <v>100</v>
      </c>
      <c r="X23" s="1815"/>
      <c r="Y23" s="3180"/>
      <c r="Z23" s="1816" t="str">
        <f>Q23</f>
        <v>环境质量</v>
      </c>
      <c r="AA23" s="1813">
        <f t="shared" si="3"/>
        <v>1</v>
      </c>
      <c r="AB23" s="1813">
        <f t="shared" si="4"/>
        <v>1</v>
      </c>
      <c r="AC23" s="1813">
        <f t="shared" si="5"/>
        <v>1</v>
      </c>
    </row>
    <row r="24" spans="1:29" ht="15">
      <c r="A24" s="427"/>
      <c r="B24" s="1386"/>
      <c r="C24" s="446"/>
      <c r="D24" s="447"/>
      <c r="E24" s="2606"/>
      <c r="F24" s="448"/>
      <c r="G24" s="2605"/>
      <c r="H24" s="447"/>
      <c r="I24" s="2606"/>
      <c r="J24" s="447"/>
      <c r="K24" s="614"/>
      <c r="L24" s="1142"/>
      <c r="M24" s="1133"/>
      <c r="N24" s="1133"/>
      <c r="O24" s="1141"/>
      <c r="P24" s="3180"/>
      <c r="Q24" s="1812"/>
      <c r="R24" s="773"/>
      <c r="S24" s="774"/>
      <c r="T24" s="773"/>
      <c r="U24" s="774"/>
      <c r="V24" s="773"/>
      <c r="W24" s="774"/>
      <c r="X24" s="1815"/>
      <c r="Y24" s="3180"/>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0"/>
      <c r="Q25" s="1812">
        <f>B25</f>
        <v>111</v>
      </c>
      <c r="R25" s="773" t="s">
        <v>17</v>
      </c>
      <c r="S25" s="774">
        <f>F25</f>
        <v>100</v>
      </c>
      <c r="T25" s="773" t="s">
        <v>17</v>
      </c>
      <c r="U25" s="774">
        <f>H25</f>
        <v>100</v>
      </c>
      <c r="V25" s="773" t="s">
        <v>17</v>
      </c>
      <c r="W25" s="774">
        <f>J25</f>
        <v>100</v>
      </c>
      <c r="X25" s="1815"/>
      <c r="Y25" s="3180"/>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0"/>
      <c r="Q26" s="1812">
        <f t="shared" ref="Q26:Q40" si="11">B26</f>
        <v>111</v>
      </c>
      <c r="R26" s="773" t="s">
        <v>17</v>
      </c>
      <c r="S26" s="774">
        <f>F26</f>
        <v>100</v>
      </c>
      <c r="T26" s="773" t="s">
        <v>17</v>
      </c>
      <c r="U26" s="774">
        <f>H26</f>
        <v>100</v>
      </c>
      <c r="V26" s="773" t="s">
        <v>17</v>
      </c>
      <c r="W26" s="774">
        <f>J26</f>
        <v>100</v>
      </c>
      <c r="X26" s="1815"/>
      <c r="Y26" s="3180"/>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0"/>
      <c r="Q27" s="1797">
        <f t="shared" si="11"/>
        <v>111</v>
      </c>
      <c r="R27" s="769" t="s">
        <v>17</v>
      </c>
      <c r="S27" s="770">
        <f>F27</f>
        <v>100</v>
      </c>
      <c r="T27" s="769" t="s">
        <v>17</v>
      </c>
      <c r="U27" s="770">
        <f>H27</f>
        <v>100</v>
      </c>
      <c r="V27" s="769" t="s">
        <v>17</v>
      </c>
      <c r="W27" s="770">
        <f>J27</f>
        <v>100</v>
      </c>
      <c r="X27" s="771"/>
      <c r="Y27" s="3180"/>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0"/>
      <c r="Q28" s="1812">
        <f t="shared" si="11"/>
        <v>111</v>
      </c>
      <c r="R28" s="773" t="s">
        <v>17</v>
      </c>
      <c r="S28" s="774">
        <f t="shared" ref="S28:S40" si="12">F28</f>
        <v>100</v>
      </c>
      <c r="T28" s="773" t="s">
        <v>17</v>
      </c>
      <c r="U28" s="774">
        <f t="shared" ref="U28:U40" si="13">H28</f>
        <v>100</v>
      </c>
      <c r="V28" s="773" t="s">
        <v>17</v>
      </c>
      <c r="W28" s="774">
        <f t="shared" ref="W28:W40" si="14">J28</f>
        <v>100</v>
      </c>
      <c r="X28" s="1815"/>
      <c r="Y28" s="3180"/>
      <c r="Z28" s="1816">
        <f t="shared" ref="Z28:Z40" si="15">Q28</f>
        <v>111</v>
      </c>
      <c r="AA28" s="1813">
        <f t="shared" si="3"/>
        <v>1</v>
      </c>
      <c r="AB28" s="1813">
        <f t="shared" si="4"/>
        <v>1</v>
      </c>
      <c r="AC28" s="1813">
        <f t="shared" si="5"/>
        <v>1</v>
      </c>
    </row>
    <row r="29" spans="1:29" ht="28.5">
      <c r="A29" s="465" t="s">
        <v>2555</v>
      </c>
      <c r="B29" s="71" t="s">
        <v>2685</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196" t="s">
        <v>2557</v>
      </c>
      <c r="Q29" s="1812" t="str">
        <f t="shared" si="11"/>
        <v>建筑类型</v>
      </c>
      <c r="R29" s="773" t="s">
        <v>17</v>
      </c>
      <c r="S29" s="774">
        <f t="shared" si="12"/>
        <v>100</v>
      </c>
      <c r="T29" s="773" t="s">
        <v>17</v>
      </c>
      <c r="U29" s="774">
        <f t="shared" si="13"/>
        <v>100</v>
      </c>
      <c r="V29" s="773" t="s">
        <v>17</v>
      </c>
      <c r="W29" s="774">
        <f t="shared" si="14"/>
        <v>100</v>
      </c>
      <c r="X29" s="1815"/>
      <c r="Y29" s="3181" t="s">
        <v>2557</v>
      </c>
      <c r="Z29" s="1816" t="str">
        <f t="shared" si="15"/>
        <v>建筑类型</v>
      </c>
      <c r="AA29" s="1813">
        <f t="shared" si="3"/>
        <v>1</v>
      </c>
      <c r="AB29" s="1813">
        <f t="shared" si="4"/>
        <v>1</v>
      </c>
      <c r="AC29" s="1813">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81"/>
      <c r="Q30" s="775" t="str">
        <f t="shared" si="11"/>
        <v>项目建筑规模</v>
      </c>
      <c r="R30" s="776" t="s">
        <v>17</v>
      </c>
      <c r="S30" s="777" t="e">
        <f t="shared" si="12"/>
        <v>#N/A</v>
      </c>
      <c r="T30" s="776" t="s">
        <v>17</v>
      </c>
      <c r="U30" s="777" t="e">
        <f t="shared" si="13"/>
        <v>#N/A</v>
      </c>
      <c r="V30" s="776" t="s">
        <v>17</v>
      </c>
      <c r="W30" s="777" t="e">
        <f t="shared" si="14"/>
        <v>#N/A</v>
      </c>
      <c r="X30" s="778"/>
      <c r="Y30" s="3181"/>
      <c r="Z30" s="779" t="str">
        <f t="shared" si="15"/>
        <v>项目建筑规模</v>
      </c>
      <c r="AA30" s="1813" t="e">
        <f t="shared" si="3"/>
        <v>#N/A</v>
      </c>
      <c r="AB30" s="1813" t="e">
        <f t="shared" si="4"/>
        <v>#N/A</v>
      </c>
      <c r="AC30" s="1813"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81"/>
      <c r="Q31" s="1812" t="str">
        <f t="shared" si="11"/>
        <v>建筑结构</v>
      </c>
      <c r="R31" s="773" t="s">
        <v>17</v>
      </c>
      <c r="S31" s="774">
        <f t="shared" si="12"/>
        <v>100</v>
      </c>
      <c r="T31" s="773" t="s">
        <v>17</v>
      </c>
      <c r="U31" s="774">
        <f t="shared" si="13"/>
        <v>100</v>
      </c>
      <c r="V31" s="773" t="s">
        <v>17</v>
      </c>
      <c r="W31" s="774">
        <f t="shared" si="14"/>
        <v>100</v>
      </c>
      <c r="X31" s="1815"/>
      <c r="Y31" s="3181"/>
      <c r="Z31" s="1816" t="str">
        <f t="shared" si="15"/>
        <v>建筑结构</v>
      </c>
      <c r="AA31" s="1813">
        <f t="shared" si="3"/>
        <v>1</v>
      </c>
      <c r="AB31" s="1813">
        <f t="shared" si="4"/>
        <v>1</v>
      </c>
      <c r="AC31" s="1813">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81"/>
      <c r="Q32" s="1812" t="str">
        <f t="shared" si="11"/>
        <v>公共部分装修</v>
      </c>
      <c r="R32" s="773" t="s">
        <v>17</v>
      </c>
      <c r="S32" s="774">
        <f t="shared" si="12"/>
        <v>100</v>
      </c>
      <c r="T32" s="773" t="s">
        <v>17</v>
      </c>
      <c r="U32" s="774">
        <f t="shared" si="13"/>
        <v>100</v>
      </c>
      <c r="V32" s="773" t="s">
        <v>17</v>
      </c>
      <c r="W32" s="774">
        <f t="shared" si="14"/>
        <v>100</v>
      </c>
      <c r="X32" s="1815"/>
      <c r="Y32" s="3181"/>
      <c r="Z32" s="1816" t="str">
        <f t="shared" si="15"/>
        <v>公共部分装修</v>
      </c>
      <c r="AA32" s="1813">
        <f t="shared" si="3"/>
        <v>1</v>
      </c>
      <c r="AB32" s="1813">
        <f t="shared" si="4"/>
        <v>1</v>
      </c>
      <c r="AC32" s="1813">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81"/>
      <c r="Q33" s="1812" t="str">
        <f t="shared" si="11"/>
        <v>成新度</v>
      </c>
      <c r="R33" s="773" t="s">
        <v>17</v>
      </c>
      <c r="S33" s="774" t="e">
        <f t="shared" si="12"/>
        <v>#N/A</v>
      </c>
      <c r="T33" s="773" t="s">
        <v>17</v>
      </c>
      <c r="U33" s="774" t="e">
        <f t="shared" si="13"/>
        <v>#N/A</v>
      </c>
      <c r="V33" s="773" t="s">
        <v>17</v>
      </c>
      <c r="W33" s="774" t="e">
        <f t="shared" si="14"/>
        <v>#N/A</v>
      </c>
      <c r="X33" s="1815"/>
      <c r="Y33" s="3181"/>
      <c r="Z33" s="1816" t="str">
        <f t="shared" si="15"/>
        <v>成新度</v>
      </c>
      <c r="AA33" s="1813" t="e">
        <f t="shared" si="3"/>
        <v>#N/A</v>
      </c>
      <c r="AB33" s="1813" t="e">
        <f t="shared" si="4"/>
        <v>#N/A</v>
      </c>
      <c r="AC33" s="1813"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81"/>
      <c r="Q34" s="1797" t="str">
        <f t="shared" si="11"/>
        <v>物业管理</v>
      </c>
      <c r="R34" s="769" t="s">
        <v>17</v>
      </c>
      <c r="S34" s="770">
        <f t="shared" si="12"/>
        <v>100</v>
      </c>
      <c r="T34" s="769" t="s">
        <v>17</v>
      </c>
      <c r="U34" s="770">
        <f t="shared" si="13"/>
        <v>100</v>
      </c>
      <c r="V34" s="769" t="s">
        <v>17</v>
      </c>
      <c r="W34" s="770">
        <f t="shared" si="14"/>
        <v>100</v>
      </c>
      <c r="X34" s="771"/>
      <c r="Y34" s="3181"/>
      <c r="Z34" s="55" t="str">
        <f t="shared" si="15"/>
        <v>物业管理</v>
      </c>
      <c r="AA34" s="772">
        <f t="shared" si="3"/>
        <v>1</v>
      </c>
      <c r="AB34" s="772">
        <f t="shared" si="4"/>
        <v>1</v>
      </c>
      <c r="AC34" s="772">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81" t="s">
        <v>2557</v>
      </c>
      <c r="Q35" s="1812" t="str">
        <f t="shared" si="11"/>
        <v>市政基础设施</v>
      </c>
      <c r="R35" s="773" t="s">
        <v>17</v>
      </c>
      <c r="S35" s="774">
        <f t="shared" si="12"/>
        <v>100</v>
      </c>
      <c r="T35" s="773" t="s">
        <v>17</v>
      </c>
      <c r="U35" s="774">
        <f t="shared" si="13"/>
        <v>100</v>
      </c>
      <c r="V35" s="773" t="s">
        <v>17</v>
      </c>
      <c r="W35" s="774">
        <f t="shared" si="14"/>
        <v>100</v>
      </c>
      <c r="X35" s="1815"/>
      <c r="Y35" s="3181" t="s">
        <v>2557</v>
      </c>
      <c r="Z35" s="1816" t="str">
        <f t="shared" si="15"/>
        <v>市政基础设施</v>
      </c>
      <c r="AA35" s="1813">
        <f t="shared" si="3"/>
        <v>1</v>
      </c>
      <c r="AB35" s="1813">
        <f t="shared" si="4"/>
        <v>1</v>
      </c>
      <c r="AC35" s="1813">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81"/>
      <c r="Q36" s="1812" t="str">
        <f t="shared" si="11"/>
        <v>内部装修</v>
      </c>
      <c r="R36" s="773" t="s">
        <v>17</v>
      </c>
      <c r="S36" s="774">
        <f t="shared" si="12"/>
        <v>100</v>
      </c>
      <c r="T36" s="773" t="s">
        <v>17</v>
      </c>
      <c r="U36" s="774">
        <f t="shared" si="13"/>
        <v>100</v>
      </c>
      <c r="V36" s="773" t="s">
        <v>17</v>
      </c>
      <c r="W36" s="774">
        <f t="shared" si="14"/>
        <v>100</v>
      </c>
      <c r="X36" s="1815"/>
      <c r="Y36" s="3181"/>
      <c r="Z36" s="1816" t="str">
        <f t="shared" si="15"/>
        <v>内部装修</v>
      </c>
      <c r="AA36" s="1813">
        <f t="shared" si="3"/>
        <v>1</v>
      </c>
      <c r="AB36" s="1813">
        <f t="shared" si="4"/>
        <v>1</v>
      </c>
      <c r="AC36" s="1813">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81"/>
      <c r="Q37" s="1812" t="str">
        <f t="shared" si="11"/>
        <v>内部装修状况</v>
      </c>
      <c r="R37" s="773" t="s">
        <v>17</v>
      </c>
      <c r="S37" s="774">
        <f t="shared" si="12"/>
        <v>100</v>
      </c>
      <c r="T37" s="773" t="s">
        <v>17</v>
      </c>
      <c r="U37" s="774">
        <f t="shared" si="13"/>
        <v>100</v>
      </c>
      <c r="V37" s="773" t="s">
        <v>17</v>
      </c>
      <c r="W37" s="774">
        <f t="shared" si="14"/>
        <v>100</v>
      </c>
      <c r="X37" s="1815"/>
      <c r="Y37" s="3181"/>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1"/>
      <c r="Q38" s="775">
        <f t="shared" si="11"/>
        <v>111</v>
      </c>
      <c r="R38" s="776" t="s">
        <v>17</v>
      </c>
      <c r="S38" s="777">
        <f t="shared" si="12"/>
        <v>100</v>
      </c>
      <c r="T38" s="776" t="s">
        <v>17</v>
      </c>
      <c r="U38" s="777">
        <f t="shared" si="13"/>
        <v>100</v>
      </c>
      <c r="V38" s="776" t="s">
        <v>17</v>
      </c>
      <c r="W38" s="777">
        <f t="shared" si="14"/>
        <v>100</v>
      </c>
      <c r="X38" s="778"/>
      <c r="Y38" s="3181"/>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1"/>
      <c r="Q39" s="1812">
        <f t="shared" si="11"/>
        <v>111</v>
      </c>
      <c r="R39" s="773" t="s">
        <v>17</v>
      </c>
      <c r="S39" s="774">
        <f t="shared" si="12"/>
        <v>100</v>
      </c>
      <c r="T39" s="773" t="s">
        <v>17</v>
      </c>
      <c r="U39" s="774">
        <f t="shared" si="13"/>
        <v>100</v>
      </c>
      <c r="V39" s="773" t="s">
        <v>17</v>
      </c>
      <c r="W39" s="774">
        <f t="shared" si="14"/>
        <v>100</v>
      </c>
      <c r="X39" s="1815"/>
      <c r="Y39" s="3181"/>
      <c r="Z39" s="1816">
        <f t="shared" si="15"/>
        <v>111</v>
      </c>
      <c r="AA39" s="1813">
        <f t="shared" si="3"/>
        <v>1</v>
      </c>
      <c r="AB39" s="1813">
        <f t="shared" si="4"/>
        <v>1</v>
      </c>
      <c r="AC39" s="1813">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36"/>
      <c r="Q40" s="1812">
        <f t="shared" si="11"/>
        <v>111</v>
      </c>
      <c r="R40" s="773" t="s">
        <v>17</v>
      </c>
      <c r="S40" s="774">
        <f t="shared" si="12"/>
        <v>100</v>
      </c>
      <c r="T40" s="773" t="s">
        <v>17</v>
      </c>
      <c r="U40" s="774">
        <f t="shared" si="13"/>
        <v>100</v>
      </c>
      <c r="V40" s="773" t="s">
        <v>17</v>
      </c>
      <c r="W40" s="774">
        <f t="shared" si="14"/>
        <v>100</v>
      </c>
      <c r="X40" s="1815"/>
      <c r="Y40" s="3236"/>
      <c r="Z40" s="1816">
        <f t="shared" si="15"/>
        <v>111</v>
      </c>
      <c r="AA40" s="1813">
        <f t="shared" si="3"/>
        <v>1</v>
      </c>
      <c r="AB40" s="1813">
        <f t="shared" si="4"/>
        <v>1</v>
      </c>
      <c r="AC40" s="1813">
        <f t="shared" si="5"/>
        <v>1</v>
      </c>
    </row>
    <row r="41" spans="1:29" ht="15">
      <c r="A41" s="478" t="s">
        <v>2569</v>
      </c>
      <c r="B41" s="479"/>
      <c r="C41" s="1409" t="s">
        <v>1</v>
      </c>
      <c r="D41" s="1410"/>
      <c r="E41" s="1411"/>
      <c r="F41" s="1412"/>
      <c r="G41" s="1413"/>
      <c r="H41" s="1414"/>
      <c r="I41" s="1411"/>
      <c r="J41" s="1414"/>
      <c r="K41" s="782"/>
      <c r="L41" s="1145"/>
      <c r="M41" s="1146"/>
      <c r="N41" s="1133"/>
      <c r="O41" s="1146"/>
      <c r="P41" s="3160" t="str">
        <f>A41</f>
        <v>成交单价（元/平方米）</v>
      </c>
      <c r="Q41" s="3160"/>
      <c r="R41" s="3232">
        <f>E41</f>
        <v>0</v>
      </c>
      <c r="S41" s="3232"/>
      <c r="T41" s="3232">
        <f>G41</f>
        <v>0</v>
      </c>
      <c r="U41" s="3232"/>
      <c r="V41" s="3232">
        <f>I41</f>
        <v>0</v>
      </c>
      <c r="W41" s="3232"/>
      <c r="X41" s="758"/>
      <c r="Y41" s="780"/>
      <c r="Z41" s="758"/>
      <c r="AA41" s="758"/>
      <c r="AB41" s="758"/>
      <c r="AC41" s="758"/>
    </row>
    <row r="42" spans="1:29" ht="15.75" thickBot="1">
      <c r="A42" s="485" t="s">
        <v>2661</v>
      </c>
      <c r="B42" s="486"/>
      <c r="C42" s="1415" t="e">
        <f>R43</f>
        <v>#DIV/0!</v>
      </c>
      <c r="D42" s="1416"/>
      <c r="E42" s="1417" t="e">
        <f>R42</f>
        <v>#DIV/0!</v>
      </c>
      <c r="F42" s="1417"/>
      <c r="G42" s="1415" t="e">
        <f>T42</f>
        <v>#DIV/0!</v>
      </c>
      <c r="H42" s="1416"/>
      <c r="I42" s="1417" t="e">
        <f>V42</f>
        <v>#DIV/0!</v>
      </c>
      <c r="J42" s="1416"/>
      <c r="K42" s="783"/>
      <c r="L42" s="1145"/>
      <c r="M42" s="1146"/>
      <c r="N42" s="1133"/>
      <c r="O42" s="1146"/>
      <c r="P42" s="3160" t="str">
        <f>A42</f>
        <v>比较价值（元/平方米）</v>
      </c>
      <c r="Q42" s="3160"/>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8"/>
      <c r="Y42" s="758"/>
      <c r="Z42" s="758"/>
      <c r="AA42" s="758"/>
      <c r="AB42" s="758"/>
      <c r="AC42" s="758"/>
    </row>
    <row r="43" spans="1:29" ht="15.75" thickBot="1">
      <c r="A43" s="491" t="s">
        <v>2662</v>
      </c>
      <c r="B43" s="492"/>
      <c r="C43" s="1419" t="e">
        <f>R43</f>
        <v>#DIV/0!</v>
      </c>
      <c r="D43" s="1419"/>
      <c r="E43" s="1419"/>
      <c r="F43" s="1419"/>
      <c r="G43" s="1419"/>
      <c r="H43" s="1419"/>
      <c r="I43" s="1419"/>
      <c r="J43" s="1419"/>
      <c r="K43" s="784"/>
      <c r="L43" s="1145"/>
      <c r="M43" s="1146"/>
      <c r="N43" s="1146"/>
      <c r="O43" s="1146"/>
      <c r="P43" s="3197" t="str">
        <f>A43</f>
        <v>估价对象XX用房的比较价值（楼面单价，元/平方米）</v>
      </c>
      <c r="Q43" s="3198"/>
      <c r="R43" s="3231" t="e">
        <f>IF(F1="售价",ROUND(AVERAGE(R42:V42),0),ROUND(AVERAGE(R42:V42),1))</f>
        <v>#DIV/0!</v>
      </c>
      <c r="S43" s="3231"/>
      <c r="T43" s="3231"/>
      <c r="U43" s="3231"/>
      <c r="V43" s="3231"/>
      <c r="W43" s="3231"/>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2666</v>
      </c>
      <c r="B51" s="758"/>
      <c r="C51" s="763"/>
      <c r="D51" s="763"/>
      <c r="E51" s="763"/>
      <c r="F51" s="764"/>
      <c r="G51" s="764"/>
      <c r="H51" s="763"/>
      <c r="I51" s="763"/>
      <c r="J51" s="763"/>
      <c r="K51" s="1162"/>
      <c r="L51" s="1163"/>
      <c r="M51" s="1161"/>
      <c r="N51" s="1161"/>
      <c r="O51" s="1161"/>
      <c r="P51" s="502"/>
      <c r="Q51" s="503"/>
    </row>
    <row r="52" spans="1:17" s="507" customFormat="1" ht="15">
      <c r="A52" s="504" t="s">
        <v>2540</v>
      </c>
      <c r="B52" s="505"/>
      <c r="C52" s="1576" t="str">
        <f>YEAR(C7)&amp;"-"&amp;MONTH(C7)</f>
        <v>2019-1</v>
      </c>
      <c r="D52" s="1577">
        <f>EDATE(C52,-1)</f>
        <v>43435</v>
      </c>
      <c r="E52" s="1577">
        <f t="shared" ref="E52:O52" si="16">EDATE(D52,-1)</f>
        <v>43405</v>
      </c>
      <c r="F52" s="1577">
        <f t="shared" si="16"/>
        <v>43374</v>
      </c>
      <c r="G52" s="1577">
        <f t="shared" si="16"/>
        <v>43344</v>
      </c>
      <c r="H52" s="1577">
        <f t="shared" si="16"/>
        <v>43313</v>
      </c>
      <c r="I52" s="1577">
        <f t="shared" si="16"/>
        <v>43282</v>
      </c>
      <c r="J52" s="1577">
        <f t="shared" si="16"/>
        <v>43252</v>
      </c>
      <c r="K52" s="1577">
        <f t="shared" si="16"/>
        <v>43221</v>
      </c>
      <c r="L52" s="1577">
        <f t="shared" si="16"/>
        <v>43191</v>
      </c>
      <c r="M52" s="1577">
        <f t="shared" si="16"/>
        <v>43160</v>
      </c>
      <c r="N52" s="1577">
        <f t="shared" si="16"/>
        <v>43132</v>
      </c>
      <c r="O52" s="1577">
        <f t="shared" si="16"/>
        <v>43101</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2580</v>
      </c>
      <c r="B57" s="527" t="s">
        <v>2546</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7"/>
      <c r="B87" s="568"/>
      <c r="C87" s="569"/>
      <c r="D87" s="569"/>
      <c r="E87" s="569"/>
      <c r="F87" s="569"/>
      <c r="G87" s="590"/>
      <c r="H87" s="590"/>
      <c r="I87" s="590"/>
      <c r="J87" s="590"/>
      <c r="K87" s="590"/>
      <c r="L87" s="590"/>
      <c r="M87" s="591"/>
      <c r="N87" s="1155"/>
      <c r="O87" s="1155"/>
      <c r="P87" s="45"/>
      <c r="Q87" s="503"/>
    </row>
    <row r="88" spans="1:17">
      <c r="A88" s="526" t="s">
        <v>2555</v>
      </c>
      <c r="B88" s="527" t="s">
        <v>2604</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2606</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2608</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1988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2609</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2610</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2612</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7"/>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2699</v>
      </c>
      <c r="B1" s="1621"/>
      <c r="C1" s="1622" t="s">
        <v>2522</v>
      </c>
      <c r="D1" s="1623"/>
      <c r="E1" s="1624"/>
      <c r="F1" s="2585"/>
      <c r="G1" s="1625" t="s">
        <v>2635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2319</v>
      </c>
      <c r="B2" s="1420" t="e">
        <f ca="1">IF(C2="——",IF(B37="元/平方米",ROUND(C39*D3/10000,0),ROUND(F3*C39/10000,0)),IF(B37="元/平方米",ROUND(C39*D3/10000,0),ROUND(F3*C39/10000,0))-D2)</f>
        <v>#DIV/0!</v>
      </c>
      <c r="C2" s="2587"/>
      <c r="D2" s="1126" t="e">
        <f ca="1">SUMIF(INDIRECT("'"&amp;F2&amp;"'"&amp;"!A:A"),"承租人权益价值",INDIRECT("'"&amp;F2&amp;"'"&amp;"!c:c"))</f>
        <v>#REF!</v>
      </c>
      <c r="E2" s="2588" t="s">
        <v>2320</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2321</v>
      </c>
      <c r="B3" s="608" t="e">
        <f ca="1">IF(AND(C2="——",B37="元/平方米"),C39,ROUND(B2*10000/D3,0))</f>
        <v>#DIV/0!</v>
      </c>
      <c r="C3" s="399" t="s">
        <v>2636</v>
      </c>
      <c r="D3" s="398">
        <f>SUMIF('数据-汇总表'!$C19:$C33,D1,'数据-汇总表'!$E19:$E33)</f>
        <v>0</v>
      </c>
      <c r="E3" s="399" t="s">
        <v>2700</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2637</v>
      </c>
      <c r="B4" s="401"/>
      <c r="C4" s="3157" t="s">
        <v>2638</v>
      </c>
      <c r="D4" s="3185"/>
      <c r="E4" s="3186" t="s">
        <v>2639</v>
      </c>
      <c r="F4" s="3187"/>
      <c r="G4" s="3157" t="s">
        <v>2640</v>
      </c>
      <c r="H4" s="3185"/>
      <c r="I4" s="3157" t="s">
        <v>2641</v>
      </c>
      <c r="J4" s="3185"/>
      <c r="K4" s="609" t="s">
        <v>2642</v>
      </c>
      <c r="L4" s="1132"/>
      <c r="M4" s="1133"/>
      <c r="N4" s="1133"/>
      <c r="O4" s="1133"/>
      <c r="P4" s="3188" t="s">
        <v>2643</v>
      </c>
      <c r="Q4" s="3189"/>
      <c r="R4" s="3164" t="s">
        <v>2639</v>
      </c>
      <c r="S4" s="3165"/>
      <c r="T4" s="3164" t="s">
        <v>2640</v>
      </c>
      <c r="U4" s="3165"/>
      <c r="V4" s="3178" t="s">
        <v>2641</v>
      </c>
      <c r="W4" s="3178"/>
      <c r="X4" s="1815"/>
      <c r="Y4" s="3164" t="s">
        <v>2643</v>
      </c>
      <c r="Z4" s="3165"/>
      <c r="AA4" s="3182" t="s">
        <v>2639</v>
      </c>
      <c r="AB4" s="3183" t="s">
        <v>2640</v>
      </c>
      <c r="AC4" s="3182" t="s">
        <v>2641</v>
      </c>
    </row>
    <row r="5" spans="1:29" ht="15">
      <c r="A5" s="403"/>
      <c r="B5" s="404"/>
      <c r="C5" s="3168" t="s">
        <v>2534</v>
      </c>
      <c r="D5" s="3169"/>
      <c r="E5" s="3194" t="s">
        <v>2535</v>
      </c>
      <c r="F5" s="3195"/>
      <c r="G5" s="3168" t="s">
        <v>2536</v>
      </c>
      <c r="H5" s="3169"/>
      <c r="I5" s="3168" t="s">
        <v>2537</v>
      </c>
      <c r="J5" s="3169"/>
      <c r="K5" s="609"/>
      <c r="L5" s="1132"/>
      <c r="M5" s="1133"/>
      <c r="N5" s="1133"/>
      <c r="O5" s="1133"/>
      <c r="P5" s="3190"/>
      <c r="Q5" s="3191"/>
      <c r="R5" s="3166"/>
      <c r="S5" s="3167"/>
      <c r="T5" s="3166"/>
      <c r="U5" s="3167"/>
      <c r="V5" s="3178"/>
      <c r="W5" s="3178"/>
      <c r="X5" s="1815"/>
      <c r="Y5" s="3166"/>
      <c r="Z5" s="3167"/>
      <c r="AA5" s="3183"/>
      <c r="AB5" s="3183"/>
      <c r="AC5" s="3183"/>
    </row>
    <row r="6" spans="1:29" ht="15.75" thickBot="1">
      <c r="A6" s="405"/>
      <c r="B6" s="406"/>
      <c r="C6" s="3239" t="s">
        <v>2538</v>
      </c>
      <c r="D6" s="3240"/>
      <c r="E6" s="3241" t="s">
        <v>2538</v>
      </c>
      <c r="F6" s="3242"/>
      <c r="G6" s="3239" t="s">
        <v>2538</v>
      </c>
      <c r="H6" s="3240"/>
      <c r="I6" s="3239" t="s">
        <v>2538</v>
      </c>
      <c r="J6" s="3240"/>
      <c r="K6" s="609" t="s">
        <v>2539</v>
      </c>
      <c r="L6" s="1132"/>
      <c r="M6" s="1133"/>
      <c r="N6" s="1133"/>
      <c r="O6" s="1133"/>
      <c r="P6" s="3192"/>
      <c r="Q6" s="3193"/>
      <c r="R6" s="3166"/>
      <c r="S6" s="3167"/>
      <c r="T6" s="3176"/>
      <c r="U6" s="3177"/>
      <c r="V6" s="3178"/>
      <c r="W6" s="3178"/>
      <c r="X6" s="1815"/>
      <c r="Y6" s="3176"/>
      <c r="Z6" s="3177"/>
      <c r="AA6" s="3184"/>
      <c r="AB6" s="3184"/>
      <c r="AC6" s="3184"/>
    </row>
    <row r="7" spans="1:29" s="116" customFormat="1" ht="15.75" thickBot="1">
      <c r="A7" s="407" t="s">
        <v>2540</v>
      </c>
      <c r="B7" s="408"/>
      <c r="C7" s="409">
        <f>'数据-取费表'!B2</f>
        <v>43487</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62" t="s">
        <v>2541</v>
      </c>
      <c r="Q7" s="3172"/>
      <c r="R7" s="769" t="s">
        <v>17</v>
      </c>
      <c r="S7" s="770">
        <f t="shared" ref="S7:S14" si="0">F7</f>
        <v>0</v>
      </c>
      <c r="T7" s="769" t="s">
        <v>17</v>
      </c>
      <c r="U7" s="770">
        <f t="shared" ref="U7:U14" si="1">H7</f>
        <v>0</v>
      </c>
      <c r="V7" s="769" t="s">
        <v>17</v>
      </c>
      <c r="W7" s="770">
        <f t="shared" ref="W7:W14" si="2">J7</f>
        <v>0</v>
      </c>
      <c r="X7" s="771"/>
      <c r="Y7" s="3162" t="s">
        <v>2541</v>
      </c>
      <c r="Z7" s="3163"/>
      <c r="AA7" s="772" t="e">
        <f>D7/F7</f>
        <v>#DIV/0!</v>
      </c>
      <c r="AB7" s="772" t="e">
        <f>D7/H7</f>
        <v>#DIV/0!</v>
      </c>
      <c r="AC7" s="772"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62" t="s">
        <v>2544</v>
      </c>
      <c r="Q8" s="3163"/>
      <c r="R8" s="769" t="s">
        <v>17</v>
      </c>
      <c r="S8" s="770">
        <f t="shared" si="0"/>
        <v>0</v>
      </c>
      <c r="T8" s="769" t="s">
        <v>17</v>
      </c>
      <c r="U8" s="770">
        <f t="shared" si="1"/>
        <v>0</v>
      </c>
      <c r="V8" s="769" t="s">
        <v>17</v>
      </c>
      <c r="W8" s="770">
        <f t="shared" si="2"/>
        <v>0</v>
      </c>
      <c r="X8" s="771"/>
      <c r="Y8" s="3162" t="s">
        <v>2544</v>
      </c>
      <c r="Z8" s="3163"/>
      <c r="AA8" s="772" t="e">
        <f t="shared" ref="AA8:AA36" si="3">D8/F8</f>
        <v>#DIV/0!</v>
      </c>
      <c r="AB8" s="772" t="e">
        <f t="shared" ref="AB8:AB36" si="4">D8/H8</f>
        <v>#DIV/0!</v>
      </c>
      <c r="AC8" s="772" t="e">
        <f t="shared" ref="AC8:AC36" si="5">D8/J8</f>
        <v>#DIV/0!</v>
      </c>
    </row>
    <row r="9" spans="1:29" s="116" customFormat="1">
      <c r="A9" s="68"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60" t="s">
        <v>2547</v>
      </c>
      <c r="Q9" s="1797" t="str">
        <f t="shared" ref="Q9:Q14" si="6">B9</f>
        <v>用途</v>
      </c>
      <c r="R9" s="769" t="s">
        <v>17</v>
      </c>
      <c r="S9" s="770">
        <f t="shared" si="0"/>
        <v>100</v>
      </c>
      <c r="T9" s="769" t="s">
        <v>17</v>
      </c>
      <c r="U9" s="770">
        <f t="shared" si="1"/>
        <v>100</v>
      </c>
      <c r="V9" s="769" t="s">
        <v>17</v>
      </c>
      <c r="W9" s="770">
        <f t="shared" si="2"/>
        <v>100</v>
      </c>
      <c r="X9" s="771"/>
      <c r="Y9" s="3015" t="s">
        <v>2548</v>
      </c>
      <c r="Z9" s="55" t="str">
        <f t="shared" ref="Z9:Z14" si="7">Q9</f>
        <v>用途</v>
      </c>
      <c r="AA9" s="772">
        <f t="shared" si="3"/>
        <v>1</v>
      </c>
      <c r="AB9" s="772">
        <f t="shared" si="4"/>
        <v>1</v>
      </c>
      <c r="AC9" s="772">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60"/>
      <c r="Q10" s="1797"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60"/>
      <c r="Q11" s="1797">
        <f t="shared" si="6"/>
        <v>111</v>
      </c>
      <c r="R11" s="769" t="s">
        <v>17</v>
      </c>
      <c r="S11" s="770">
        <f t="shared" si="0"/>
        <v>100</v>
      </c>
      <c r="T11" s="769" t="s">
        <v>17</v>
      </c>
      <c r="U11" s="770">
        <f t="shared" si="1"/>
        <v>100</v>
      </c>
      <c r="V11" s="769" t="s">
        <v>17</v>
      </c>
      <c r="W11" s="770">
        <f t="shared" si="2"/>
        <v>100</v>
      </c>
      <c r="X11" s="771"/>
      <c r="Y11" s="3015"/>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60"/>
      <c r="Q12" s="1797">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60"/>
      <c r="Q13" s="1797">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772">
        <f t="shared" si="5"/>
        <v>1</v>
      </c>
    </row>
    <row r="14" spans="1:29" ht="85.5">
      <c r="A14" s="400" t="s">
        <v>2551</v>
      </c>
      <c r="B14" s="628" t="s">
        <v>2701</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79" t="s">
        <v>2552</v>
      </c>
      <c r="Q14" s="1812" t="str">
        <f t="shared" si="6"/>
        <v>交通便捷度</v>
      </c>
      <c r="R14" s="773" t="s">
        <v>17</v>
      </c>
      <c r="S14" s="774">
        <f t="shared" si="0"/>
        <v>100</v>
      </c>
      <c r="T14" s="773" t="s">
        <v>17</v>
      </c>
      <c r="U14" s="774">
        <f t="shared" si="1"/>
        <v>100</v>
      </c>
      <c r="V14" s="773" t="s">
        <v>17</v>
      </c>
      <c r="W14" s="774">
        <f t="shared" si="2"/>
        <v>100</v>
      </c>
      <c r="X14" s="1815"/>
      <c r="Y14" s="3179" t="s">
        <v>2552</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80"/>
      <c r="Q15" s="1812"/>
      <c r="R15" s="773"/>
      <c r="S15" s="774"/>
      <c r="T15" s="773"/>
      <c r="U15" s="774"/>
      <c r="V15" s="773"/>
      <c r="W15" s="774"/>
      <c r="X15" s="1815"/>
      <c r="Y15" s="3180"/>
      <c r="Z15" s="1816"/>
      <c r="AA15" s="1813">
        <v>1</v>
      </c>
      <c r="AB15" s="1813">
        <v>1</v>
      </c>
      <c r="AC15" s="1813">
        <v>1</v>
      </c>
    </row>
    <row r="16" spans="1:29" ht="42.75">
      <c r="A16" s="403"/>
      <c r="B16" s="630" t="s">
        <v>2680</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0"/>
      <c r="Q16" s="1812" t="str">
        <f>B16</f>
        <v>公共配套设施</v>
      </c>
      <c r="R16" s="773" t="s">
        <v>17</v>
      </c>
      <c r="S16" s="774">
        <f>F16</f>
        <v>100</v>
      </c>
      <c r="T16" s="773" t="s">
        <v>17</v>
      </c>
      <c r="U16" s="774">
        <f>H16</f>
        <v>100</v>
      </c>
      <c r="V16" s="773" t="s">
        <v>17</v>
      </c>
      <c r="W16" s="774">
        <f>J16</f>
        <v>100</v>
      </c>
      <c r="X16" s="1815"/>
      <c r="Y16" s="3180"/>
      <c r="Z16" s="1816" t="str">
        <f>Q16</f>
        <v>公共配套设施</v>
      </c>
      <c r="AA16" s="1813">
        <f t="shared" si="3"/>
        <v>1</v>
      </c>
      <c r="AB16" s="1813">
        <f t="shared" si="4"/>
        <v>1</v>
      </c>
      <c r="AC16" s="1813">
        <f t="shared" si="5"/>
        <v>1</v>
      </c>
    </row>
    <row r="17" spans="1:29" ht="15">
      <c r="A17" s="403"/>
      <c r="B17" s="631"/>
      <c r="C17" s="2609"/>
      <c r="D17" s="447"/>
      <c r="E17" s="446"/>
      <c r="F17" s="448"/>
      <c r="G17" s="446"/>
      <c r="H17" s="447"/>
      <c r="I17" s="446"/>
      <c r="J17" s="447"/>
      <c r="K17" s="614"/>
      <c r="L17" s="1142"/>
      <c r="M17" s="1133"/>
      <c r="N17" s="1133"/>
      <c r="O17" s="1133"/>
      <c r="P17" s="3180"/>
      <c r="Q17" s="1812"/>
      <c r="R17" s="773"/>
      <c r="S17" s="774"/>
      <c r="T17" s="773"/>
      <c r="U17" s="774"/>
      <c r="V17" s="773"/>
      <c r="W17" s="774"/>
      <c r="X17" s="1815"/>
      <c r="Y17" s="3180"/>
      <c r="Z17" s="1816"/>
      <c r="AA17" s="1813">
        <v>1</v>
      </c>
      <c r="AB17" s="1813">
        <v>1</v>
      </c>
      <c r="AC17" s="1813">
        <v>1</v>
      </c>
    </row>
    <row r="18" spans="1:29" ht="28.5">
      <c r="A18" s="403"/>
      <c r="B18" s="632" t="s">
        <v>2681</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0"/>
      <c r="Q18" s="1812" t="str">
        <f>B18</f>
        <v>基础设施水平</v>
      </c>
      <c r="R18" s="773" t="s">
        <v>17</v>
      </c>
      <c r="S18" s="774">
        <f>F18</f>
        <v>100</v>
      </c>
      <c r="T18" s="773" t="s">
        <v>17</v>
      </c>
      <c r="U18" s="774">
        <f>H18</f>
        <v>100</v>
      </c>
      <c r="V18" s="773" t="s">
        <v>17</v>
      </c>
      <c r="W18" s="774">
        <f>J18</f>
        <v>100</v>
      </c>
      <c r="X18" s="1815"/>
      <c r="Y18" s="3180"/>
      <c r="Z18" s="1816" t="str">
        <f>Q18</f>
        <v>基础设施水平</v>
      </c>
      <c r="AA18" s="1813">
        <f t="shared" ref="AA18" si="8">D18/F18</f>
        <v>1</v>
      </c>
      <c r="AB18" s="1813">
        <f t="shared" ref="AB18" si="9">D18/H18</f>
        <v>1</v>
      </c>
      <c r="AC18" s="1813">
        <f t="shared" ref="AC18" si="10">D18/J18</f>
        <v>1</v>
      </c>
    </row>
    <row r="19" spans="1:29" ht="15">
      <c r="A19" s="403"/>
      <c r="B19" s="632"/>
      <c r="C19" s="2609"/>
      <c r="D19" s="449"/>
      <c r="E19" s="2609"/>
      <c r="F19" s="452"/>
      <c r="G19" s="2609"/>
      <c r="H19" s="447"/>
      <c r="I19" s="446"/>
      <c r="J19" s="447"/>
      <c r="K19" s="1385"/>
      <c r="L19" s="1142"/>
      <c r="M19" s="1133"/>
      <c r="N19" s="1133"/>
      <c r="O19" s="1133"/>
      <c r="P19" s="3180"/>
      <c r="Q19" s="1812"/>
      <c r="R19" s="773"/>
      <c r="S19" s="774"/>
      <c r="T19" s="773"/>
      <c r="U19" s="774"/>
      <c r="V19" s="773"/>
      <c r="W19" s="774"/>
      <c r="X19" s="1815"/>
      <c r="Y19" s="3180"/>
      <c r="Z19" s="1816"/>
      <c r="AA19" s="1813">
        <v>1</v>
      </c>
      <c r="AB19" s="1813">
        <v>1</v>
      </c>
      <c r="AC19" s="1813">
        <v>1</v>
      </c>
    </row>
    <row r="20" spans="1:29" ht="57">
      <c r="A20" s="403"/>
      <c r="B20" s="630" t="s">
        <v>2702</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0"/>
      <c r="Q20" s="1812" t="str">
        <f>B20</f>
        <v>自然及人文环境</v>
      </c>
      <c r="R20" s="773" t="s">
        <v>17</v>
      </c>
      <c r="S20" s="774">
        <f>F20</f>
        <v>100</v>
      </c>
      <c r="T20" s="773" t="s">
        <v>17</v>
      </c>
      <c r="U20" s="774">
        <f>H20</f>
        <v>100</v>
      </c>
      <c r="V20" s="773" t="s">
        <v>17</v>
      </c>
      <c r="W20" s="774">
        <f>J20</f>
        <v>100</v>
      </c>
      <c r="X20" s="1815"/>
      <c r="Y20" s="3180"/>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80"/>
      <c r="Q21" s="1812"/>
      <c r="R21" s="773"/>
      <c r="S21" s="774"/>
      <c r="T21" s="773"/>
      <c r="U21" s="774"/>
      <c r="V21" s="773"/>
      <c r="W21" s="774"/>
      <c r="X21" s="1815"/>
      <c r="Y21" s="3180"/>
      <c r="Z21" s="1816"/>
      <c r="AA21" s="1813">
        <v>1</v>
      </c>
      <c r="AB21" s="1813">
        <v>1</v>
      </c>
      <c r="AC21" s="1813">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0"/>
      <c r="Q22" s="1812" t="str">
        <f>B22</f>
        <v>楼层</v>
      </c>
      <c r="R22" s="773" t="s">
        <v>17</v>
      </c>
      <c r="S22" s="774">
        <f>F22</f>
        <v>100</v>
      </c>
      <c r="T22" s="773" t="s">
        <v>17</v>
      </c>
      <c r="U22" s="774">
        <f>H22</f>
        <v>100</v>
      </c>
      <c r="V22" s="773" t="s">
        <v>17</v>
      </c>
      <c r="W22" s="774">
        <f>J22</f>
        <v>100</v>
      </c>
      <c r="X22" s="1815"/>
      <c r="Y22" s="3180"/>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0"/>
      <c r="Q23" s="1812">
        <f>B23</f>
        <v>111</v>
      </c>
      <c r="R23" s="773" t="s">
        <v>17</v>
      </c>
      <c r="S23" s="774">
        <f>F23</f>
        <v>100</v>
      </c>
      <c r="T23" s="773" t="s">
        <v>17</v>
      </c>
      <c r="U23" s="774">
        <f>H23</f>
        <v>100</v>
      </c>
      <c r="V23" s="773" t="s">
        <v>17</v>
      </c>
      <c r="W23" s="774">
        <f>J23</f>
        <v>100</v>
      </c>
      <c r="X23" s="1815"/>
      <c r="Y23" s="3180"/>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0"/>
      <c r="Q24" s="1812">
        <f t="shared" ref="Q24:Q36" si="11">B24</f>
        <v>111</v>
      </c>
      <c r="R24" s="773" t="s">
        <v>17</v>
      </c>
      <c r="S24" s="774">
        <f>F24</f>
        <v>100</v>
      </c>
      <c r="T24" s="773" t="s">
        <v>17</v>
      </c>
      <c r="U24" s="774">
        <f>H24</f>
        <v>100</v>
      </c>
      <c r="V24" s="773" t="s">
        <v>17</v>
      </c>
      <c r="W24" s="774">
        <f>J24</f>
        <v>100</v>
      </c>
      <c r="X24" s="1815"/>
      <c r="Y24" s="3180"/>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0"/>
      <c r="Q25" s="1797">
        <f t="shared" si="11"/>
        <v>111</v>
      </c>
      <c r="R25" s="769" t="s">
        <v>17</v>
      </c>
      <c r="S25" s="770">
        <f>F25</f>
        <v>100</v>
      </c>
      <c r="T25" s="769" t="s">
        <v>17</v>
      </c>
      <c r="U25" s="770">
        <f>H25</f>
        <v>100</v>
      </c>
      <c r="V25" s="769" t="s">
        <v>17</v>
      </c>
      <c r="W25" s="770">
        <f>J25</f>
        <v>100</v>
      </c>
      <c r="X25" s="771"/>
      <c r="Y25" s="3180"/>
      <c r="Z25" s="55">
        <f>Q25</f>
        <v>111</v>
      </c>
      <c r="AA25" s="1813">
        <f>D25/F25</f>
        <v>1</v>
      </c>
      <c r="AB25" s="1813">
        <f>D25/H25</f>
        <v>1</v>
      </c>
      <c r="AC25" s="1813">
        <f>D25/J25</f>
        <v>1</v>
      </c>
    </row>
    <row r="26" spans="1:29" ht="28.5">
      <c r="A26" s="651" t="s">
        <v>2555</v>
      </c>
      <c r="B26" s="70" t="s">
        <v>2704</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96" t="s">
        <v>2557</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81" t="s">
        <v>2557</v>
      </c>
      <c r="Z26" s="1816" t="str">
        <f t="shared" ref="Z26:Z36" si="15">Q26</f>
        <v>配套类型</v>
      </c>
      <c r="AA26" s="1813">
        <f t="shared" si="3"/>
        <v>1</v>
      </c>
      <c r="AB26" s="1813">
        <f t="shared" si="4"/>
        <v>1</v>
      </c>
      <c r="AC26" s="1813">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1"/>
      <c r="Q27" s="775" t="str">
        <f t="shared" si="11"/>
        <v>项目停车位配比</v>
      </c>
      <c r="R27" s="776" t="s">
        <v>17</v>
      </c>
      <c r="S27" s="777">
        <f t="shared" si="12"/>
        <v>100</v>
      </c>
      <c r="T27" s="776" t="s">
        <v>17</v>
      </c>
      <c r="U27" s="777">
        <f t="shared" si="13"/>
        <v>100</v>
      </c>
      <c r="V27" s="776" t="s">
        <v>17</v>
      </c>
      <c r="W27" s="777">
        <f t="shared" si="14"/>
        <v>100</v>
      </c>
      <c r="X27" s="778"/>
      <c r="Y27" s="3181"/>
      <c r="Z27" s="779" t="str">
        <f t="shared" si="15"/>
        <v>项目停车位配比</v>
      </c>
      <c r="AA27" s="1813">
        <f t="shared" si="3"/>
        <v>1</v>
      </c>
      <c r="AB27" s="1813">
        <f t="shared" si="4"/>
        <v>1</v>
      </c>
      <c r="AC27" s="1813">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1"/>
      <c r="Q28" s="1812" t="str">
        <f t="shared" si="11"/>
        <v>公共部分装修</v>
      </c>
      <c r="R28" s="773" t="s">
        <v>17</v>
      </c>
      <c r="S28" s="774">
        <f t="shared" si="12"/>
        <v>100</v>
      </c>
      <c r="T28" s="773" t="s">
        <v>17</v>
      </c>
      <c r="U28" s="774">
        <f t="shared" si="13"/>
        <v>100</v>
      </c>
      <c r="V28" s="773" t="s">
        <v>17</v>
      </c>
      <c r="W28" s="774">
        <f t="shared" si="14"/>
        <v>100</v>
      </c>
      <c r="X28" s="1815"/>
      <c r="Y28" s="3181"/>
      <c r="Z28" s="1816" t="str">
        <f t="shared" si="15"/>
        <v>公共部分装修</v>
      </c>
      <c r="AA28" s="1813">
        <f t="shared" si="3"/>
        <v>1</v>
      </c>
      <c r="AB28" s="1813">
        <f t="shared" si="4"/>
        <v>1</v>
      </c>
      <c r="AC28" s="1813">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1"/>
      <c r="Q29" s="1812" t="str">
        <f t="shared" si="11"/>
        <v>成新率</v>
      </c>
      <c r="R29" s="773" t="s">
        <v>17</v>
      </c>
      <c r="S29" s="774" t="e">
        <f t="shared" si="12"/>
        <v>#N/A</v>
      </c>
      <c r="T29" s="773" t="s">
        <v>17</v>
      </c>
      <c r="U29" s="774" t="e">
        <f t="shared" si="13"/>
        <v>#N/A</v>
      </c>
      <c r="V29" s="773" t="s">
        <v>17</v>
      </c>
      <c r="W29" s="774" t="e">
        <f t="shared" si="14"/>
        <v>#N/A</v>
      </c>
      <c r="X29" s="1815"/>
      <c r="Y29" s="3181"/>
      <c r="Z29" s="1816" t="str">
        <f t="shared" si="15"/>
        <v>成新率</v>
      </c>
      <c r="AA29" s="1813" t="e">
        <f t="shared" si="3"/>
        <v>#N/A</v>
      </c>
      <c r="AB29" s="1813" t="e">
        <f t="shared" si="4"/>
        <v>#N/A</v>
      </c>
      <c r="AC29" s="1813"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1"/>
      <c r="Q30" s="1812" t="str">
        <f t="shared" si="11"/>
        <v>物业等级</v>
      </c>
      <c r="R30" s="773" t="s">
        <v>17</v>
      </c>
      <c r="S30" s="774">
        <f t="shared" si="12"/>
        <v>100</v>
      </c>
      <c r="T30" s="773" t="s">
        <v>17</v>
      </c>
      <c r="U30" s="774">
        <f t="shared" si="13"/>
        <v>100</v>
      </c>
      <c r="V30" s="773" t="s">
        <v>17</v>
      </c>
      <c r="W30" s="774">
        <f t="shared" si="14"/>
        <v>100</v>
      </c>
      <c r="X30" s="1815"/>
      <c r="Y30" s="3181"/>
      <c r="Z30" s="1816" t="str">
        <f t="shared" si="15"/>
        <v>物业等级</v>
      </c>
      <c r="AA30" s="1813">
        <f t="shared" si="3"/>
        <v>1</v>
      </c>
      <c r="AB30" s="1813">
        <f t="shared" si="4"/>
        <v>1</v>
      </c>
      <c r="AC30" s="1813">
        <f t="shared" si="5"/>
        <v>1</v>
      </c>
    </row>
    <row r="31" spans="1:29" s="116"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1"/>
      <c r="Q31" s="1797" t="str">
        <f t="shared" si="11"/>
        <v>停车位面积</v>
      </c>
      <c r="R31" s="769" t="s">
        <v>17</v>
      </c>
      <c r="S31" s="770" t="e">
        <f t="shared" si="12"/>
        <v>#N/A</v>
      </c>
      <c r="T31" s="769" t="s">
        <v>17</v>
      </c>
      <c r="U31" s="770" t="e">
        <f t="shared" si="13"/>
        <v>#N/A</v>
      </c>
      <c r="V31" s="769" t="s">
        <v>17</v>
      </c>
      <c r="W31" s="770" t="e">
        <f t="shared" si="14"/>
        <v>#N/A</v>
      </c>
      <c r="X31" s="771"/>
      <c r="Y31" s="3181"/>
      <c r="Z31" s="55" t="str">
        <f t="shared" si="15"/>
        <v>停车位面积</v>
      </c>
      <c r="AA31" s="772" t="e">
        <f t="shared" si="3"/>
        <v>#N/A</v>
      </c>
      <c r="AB31" s="772" t="e">
        <f t="shared" si="4"/>
        <v>#N/A</v>
      </c>
      <c r="AC31" s="772"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1" t="s">
        <v>2557</v>
      </c>
      <c r="Q32" s="1812" t="str">
        <f t="shared" si="11"/>
        <v>车位类型</v>
      </c>
      <c r="R32" s="773" t="s">
        <v>17</v>
      </c>
      <c r="S32" s="774">
        <f t="shared" si="12"/>
        <v>100</v>
      </c>
      <c r="T32" s="773" t="s">
        <v>17</v>
      </c>
      <c r="U32" s="774">
        <f t="shared" si="13"/>
        <v>100</v>
      </c>
      <c r="V32" s="773" t="s">
        <v>17</v>
      </c>
      <c r="W32" s="774">
        <f t="shared" si="14"/>
        <v>100</v>
      </c>
      <c r="X32" s="1815"/>
      <c r="Y32" s="3181" t="s">
        <v>2557</v>
      </c>
      <c r="Z32" s="1816" t="str">
        <f t="shared" si="15"/>
        <v>车位类型</v>
      </c>
      <c r="AA32" s="1813">
        <f t="shared" si="3"/>
        <v>1</v>
      </c>
      <c r="AB32" s="1813">
        <f t="shared" si="4"/>
        <v>1</v>
      </c>
      <c r="AC32" s="1813">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1"/>
      <c r="Q33" s="1812" t="str">
        <f t="shared" si="11"/>
        <v>是否直接入户</v>
      </c>
      <c r="R33" s="773" t="s">
        <v>17</v>
      </c>
      <c r="S33" s="774">
        <f t="shared" si="12"/>
        <v>100</v>
      </c>
      <c r="T33" s="773" t="s">
        <v>17</v>
      </c>
      <c r="U33" s="774">
        <f t="shared" si="13"/>
        <v>100</v>
      </c>
      <c r="V33" s="773" t="s">
        <v>17</v>
      </c>
      <c r="W33" s="774">
        <f t="shared" si="14"/>
        <v>100</v>
      </c>
      <c r="X33" s="1815"/>
      <c r="Y33" s="3181"/>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1"/>
      <c r="Q34" s="1812">
        <f t="shared" si="11"/>
        <v>111</v>
      </c>
      <c r="R34" s="773" t="s">
        <v>17</v>
      </c>
      <c r="S34" s="774">
        <f t="shared" si="12"/>
        <v>100</v>
      </c>
      <c r="T34" s="773" t="s">
        <v>17</v>
      </c>
      <c r="U34" s="774">
        <f t="shared" si="13"/>
        <v>100</v>
      </c>
      <c r="V34" s="773" t="s">
        <v>17</v>
      </c>
      <c r="W34" s="774">
        <f t="shared" si="14"/>
        <v>100</v>
      </c>
      <c r="X34" s="1815"/>
      <c r="Y34" s="3181"/>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1"/>
      <c r="Q35" s="775">
        <f t="shared" si="11"/>
        <v>111</v>
      </c>
      <c r="R35" s="776" t="s">
        <v>17</v>
      </c>
      <c r="S35" s="777">
        <f t="shared" si="12"/>
        <v>100</v>
      </c>
      <c r="T35" s="776" t="s">
        <v>17</v>
      </c>
      <c r="U35" s="777">
        <f t="shared" si="13"/>
        <v>100</v>
      </c>
      <c r="V35" s="776" t="s">
        <v>17</v>
      </c>
      <c r="W35" s="777">
        <f t="shared" si="14"/>
        <v>100</v>
      </c>
      <c r="X35" s="778"/>
      <c r="Y35" s="3181"/>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1"/>
      <c r="Q36" s="1812">
        <f t="shared" si="11"/>
        <v>111</v>
      </c>
      <c r="R36" s="773" t="s">
        <v>17</v>
      </c>
      <c r="S36" s="774">
        <f t="shared" si="12"/>
        <v>100</v>
      </c>
      <c r="T36" s="773" t="s">
        <v>17</v>
      </c>
      <c r="U36" s="774">
        <f t="shared" si="13"/>
        <v>100</v>
      </c>
      <c r="V36" s="773" t="s">
        <v>17</v>
      </c>
      <c r="W36" s="774">
        <f t="shared" si="14"/>
        <v>100</v>
      </c>
      <c r="X36" s="1815"/>
      <c r="Y36" s="3181"/>
      <c r="Z36" s="1816">
        <f t="shared" si="15"/>
        <v>111</v>
      </c>
      <c r="AA36" s="1813">
        <f t="shared" si="3"/>
        <v>1</v>
      </c>
      <c r="AB36" s="1813">
        <f t="shared" si="4"/>
        <v>1</v>
      </c>
      <c r="AC36" s="1813">
        <f t="shared" si="5"/>
        <v>1</v>
      </c>
    </row>
    <row r="37" spans="1:29" ht="15">
      <c r="A37" s="478" t="s">
        <v>2712</v>
      </c>
      <c r="B37" s="2696" t="s">
        <v>2713</v>
      </c>
      <c r="C37" s="1409" t="s">
        <v>1</v>
      </c>
      <c r="D37" s="1410"/>
      <c r="E37" s="1411"/>
      <c r="F37" s="1412"/>
      <c r="G37" s="1413"/>
      <c r="H37" s="1414"/>
      <c r="I37" s="1411"/>
      <c r="J37" s="1414"/>
      <c r="K37" s="618"/>
      <c r="L37" s="1145"/>
      <c r="M37" s="1146"/>
      <c r="N37" s="1133"/>
      <c r="O37" s="1146"/>
      <c r="P37" s="3160" t="str">
        <f>A37</f>
        <v>成交单价</v>
      </c>
      <c r="Q37" s="3160"/>
      <c r="R37" s="3232">
        <f>E37</f>
        <v>0</v>
      </c>
      <c r="S37" s="3232"/>
      <c r="T37" s="3232">
        <f>G37</f>
        <v>0</v>
      </c>
      <c r="U37" s="3232"/>
      <c r="V37" s="3232">
        <f>I37</f>
        <v>0</v>
      </c>
      <c r="W37" s="3232"/>
      <c r="X37" s="758"/>
      <c r="Y37" s="780"/>
      <c r="Z37" s="758"/>
      <c r="AA37" s="758"/>
      <c r="AB37" s="758"/>
      <c r="AC37" s="758"/>
    </row>
    <row r="38" spans="1:29" ht="15.75" thickBot="1">
      <c r="A38" s="485" t="s">
        <v>2714</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60" t="str">
        <f>A38</f>
        <v>比较价值（元/平方米）</v>
      </c>
      <c r="Q38" s="3160"/>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8"/>
      <c r="Y38" s="758"/>
      <c r="Z38" s="758"/>
      <c r="AA38" s="758"/>
      <c r="AB38" s="758"/>
      <c r="AC38" s="758"/>
    </row>
    <row r="39" spans="1:29" ht="15.75" thickBot="1">
      <c r="A39" s="491" t="s">
        <v>2715</v>
      </c>
      <c r="B39" s="492"/>
      <c r="C39" s="1419" t="e">
        <f>R39</f>
        <v>#DIV/0!</v>
      </c>
      <c r="D39" s="1419"/>
      <c r="E39" s="1419"/>
      <c r="F39" s="1419"/>
      <c r="G39" s="1419"/>
      <c r="H39" s="1419"/>
      <c r="I39" s="1419"/>
      <c r="J39" s="1419"/>
      <c r="K39" s="620"/>
      <c r="L39" s="1145"/>
      <c r="M39" s="1146"/>
      <c r="N39" s="1146"/>
      <c r="O39" s="1146"/>
      <c r="P39" s="3197" t="str">
        <f>A39</f>
        <v>估价对象XX用房的比较价值（楼面单价，元/平方米）</v>
      </c>
      <c r="Q39" s="3198"/>
      <c r="R39" s="3231" t="e">
        <f>IF(F1="售价",ROUND(AVERAGE(R38:V38),0),ROUND(AVERAGE(R38:V38),1))</f>
        <v>#DIV/0!</v>
      </c>
      <c r="S39" s="3231"/>
      <c r="T39" s="3231"/>
      <c r="U39" s="3231"/>
      <c r="V39" s="3231"/>
      <c r="W39" s="3231"/>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2719</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2720</v>
      </c>
      <c r="B48" s="505"/>
      <c r="C48" s="1576" t="str">
        <f>YEAR(C7)&amp;"-"&amp;MONTH(C7)</f>
        <v>2019-1</v>
      </c>
      <c r="D48" s="1577">
        <f>EDATE(C48,-1)</f>
        <v>43435</v>
      </c>
      <c r="E48" s="1577">
        <f t="shared" ref="E48:O48" si="16">EDATE(D48,-1)</f>
        <v>43405</v>
      </c>
      <c r="F48" s="1577">
        <f t="shared" si="16"/>
        <v>43374</v>
      </c>
      <c r="G48" s="1577">
        <f t="shared" si="16"/>
        <v>43344</v>
      </c>
      <c r="H48" s="1577">
        <f t="shared" si="16"/>
        <v>43313</v>
      </c>
      <c r="I48" s="1577">
        <f t="shared" si="16"/>
        <v>43282</v>
      </c>
      <c r="J48" s="1577">
        <f t="shared" si="16"/>
        <v>43252</v>
      </c>
      <c r="K48" s="1577">
        <f t="shared" si="16"/>
        <v>43221</v>
      </c>
      <c r="L48" s="1577">
        <f t="shared" si="16"/>
        <v>43191</v>
      </c>
      <c r="M48" s="1577">
        <f t="shared" si="16"/>
        <v>43160</v>
      </c>
      <c r="N48" s="1577">
        <f t="shared" si="16"/>
        <v>43132</v>
      </c>
      <c r="O48" s="1577">
        <f t="shared" si="16"/>
        <v>43101</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2577</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2542</v>
      </c>
      <c r="B51" s="509"/>
      <c r="C51" s="521" t="s">
        <v>2644</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2580</v>
      </c>
      <c r="B53" s="527" t="s">
        <v>2546</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2595</v>
      </c>
      <c r="C65" s="577" t="s">
        <v>2589</v>
      </c>
      <c r="D65" s="577" t="s">
        <v>2590</v>
      </c>
      <c r="E65" s="577" t="s">
        <v>2591</v>
      </c>
      <c r="F65" s="577" t="s">
        <v>2592</v>
      </c>
      <c r="G65" s="577" t="s">
        <v>2593</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2681</v>
      </c>
      <c r="C67" s="659" t="s">
        <v>2667</v>
      </c>
      <c r="D67" s="659" t="s">
        <v>2668</v>
      </c>
      <c r="E67" s="659" t="s">
        <v>2669</v>
      </c>
      <c r="F67" s="659" t="s">
        <v>2670</v>
      </c>
      <c r="G67" s="659" t="s">
        <v>2671</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2601</v>
      </c>
      <c r="C69" s="577" t="s">
        <v>2589</v>
      </c>
      <c r="D69" s="577" t="s">
        <v>2590</v>
      </c>
      <c r="E69" s="577" t="s">
        <v>2591</v>
      </c>
      <c r="F69" s="577" t="s">
        <v>2592</v>
      </c>
      <c r="G69" s="577" t="s">
        <v>2593</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2721</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2555</v>
      </c>
      <c r="B79" s="527" t="s">
        <v>2722</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2723</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2608</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2725</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2727</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2728</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2699</v>
      </c>
      <c r="B1" s="1621"/>
      <c r="C1" s="1622" t="s">
        <v>2522</v>
      </c>
      <c r="D1" s="1623"/>
      <c r="E1" s="1632"/>
      <c r="F1" s="2585"/>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2319</v>
      </c>
      <c r="B2" s="1420" t="e">
        <f ca="1">IF(C2="——",ROUND(C37*D3/10000,0),ROUND(C37*D3/10000,0)-D2)</f>
        <v>#DIV/0!</v>
      </c>
      <c r="C2" s="2587"/>
      <c r="D2" s="1126" t="e">
        <f ca="1">SUMIF(INDIRECT("'"&amp;F2&amp;"'"&amp;"!A:A"),"承租人权益价值",INDIRECT("'"&amp;F2&amp;"'"&amp;"!c:c"))</f>
        <v>#REF!</v>
      </c>
      <c r="E2" s="2588" t="s">
        <v>2320</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2321</v>
      </c>
      <c r="B3" s="608" t="e">
        <f ca="1">IF(C2="——",C37,ROUND(B2*10000/D3,0))</f>
        <v>#DIV/0!</v>
      </c>
      <c r="C3" s="399" t="s">
        <v>2636</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2637</v>
      </c>
      <c r="B4" s="401"/>
      <c r="C4" s="3157" t="s">
        <v>2638</v>
      </c>
      <c r="D4" s="3185"/>
      <c r="E4" s="3186" t="s">
        <v>2639</v>
      </c>
      <c r="F4" s="3187"/>
      <c r="G4" s="3157" t="s">
        <v>2640</v>
      </c>
      <c r="H4" s="3185"/>
      <c r="I4" s="3157" t="s">
        <v>2641</v>
      </c>
      <c r="J4" s="3185"/>
      <c r="K4" s="609" t="s">
        <v>2642</v>
      </c>
      <c r="L4" s="1132"/>
      <c r="M4" s="1133"/>
      <c r="N4" s="1133"/>
      <c r="O4" s="1133"/>
      <c r="P4" s="3188" t="s">
        <v>2643</v>
      </c>
      <c r="Q4" s="3189"/>
      <c r="R4" s="3164" t="s">
        <v>2639</v>
      </c>
      <c r="S4" s="3165"/>
      <c r="T4" s="3164" t="s">
        <v>2640</v>
      </c>
      <c r="U4" s="3165"/>
      <c r="V4" s="3178" t="s">
        <v>2641</v>
      </c>
      <c r="W4" s="3178"/>
      <c r="X4" s="1815"/>
      <c r="Y4" s="3164" t="s">
        <v>2643</v>
      </c>
      <c r="Z4" s="3165"/>
      <c r="AA4" s="3182" t="s">
        <v>2639</v>
      </c>
      <c r="AB4" s="3183" t="s">
        <v>2640</v>
      </c>
      <c r="AC4" s="3182" t="s">
        <v>2641</v>
      </c>
    </row>
    <row r="5" spans="1:29" ht="15">
      <c r="A5" s="403"/>
      <c r="B5" s="404"/>
      <c r="C5" s="3168" t="s">
        <v>2534</v>
      </c>
      <c r="D5" s="3169"/>
      <c r="E5" s="3194" t="s">
        <v>2535</v>
      </c>
      <c r="F5" s="3195"/>
      <c r="G5" s="3168" t="s">
        <v>2536</v>
      </c>
      <c r="H5" s="3169"/>
      <c r="I5" s="3168" t="s">
        <v>2537</v>
      </c>
      <c r="J5" s="3169"/>
      <c r="K5" s="609"/>
      <c r="L5" s="1132"/>
      <c r="M5" s="1133"/>
      <c r="N5" s="1133"/>
      <c r="O5" s="1133"/>
      <c r="P5" s="3190"/>
      <c r="Q5" s="3191"/>
      <c r="R5" s="3166"/>
      <c r="S5" s="3167"/>
      <c r="T5" s="3166"/>
      <c r="U5" s="3167"/>
      <c r="V5" s="3178"/>
      <c r="W5" s="3178"/>
      <c r="X5" s="1815"/>
      <c r="Y5" s="3166"/>
      <c r="Z5" s="3167"/>
      <c r="AA5" s="3183"/>
      <c r="AB5" s="3183"/>
      <c r="AC5" s="3183"/>
    </row>
    <row r="6" spans="1:29" ht="15.75" thickBot="1">
      <c r="A6" s="405"/>
      <c r="B6" s="406"/>
      <c r="C6" s="3239" t="s">
        <v>2538</v>
      </c>
      <c r="D6" s="3240"/>
      <c r="E6" s="3241" t="s">
        <v>2538</v>
      </c>
      <c r="F6" s="3242"/>
      <c r="G6" s="3239" t="s">
        <v>2538</v>
      </c>
      <c r="H6" s="3240"/>
      <c r="I6" s="3239" t="s">
        <v>2538</v>
      </c>
      <c r="J6" s="3240"/>
      <c r="K6" s="609" t="s">
        <v>2539</v>
      </c>
      <c r="L6" s="1132"/>
      <c r="M6" s="1133"/>
      <c r="N6" s="1133"/>
      <c r="O6" s="1133"/>
      <c r="P6" s="3192"/>
      <c r="Q6" s="3193"/>
      <c r="R6" s="3166"/>
      <c r="S6" s="3167"/>
      <c r="T6" s="3176"/>
      <c r="U6" s="3177"/>
      <c r="V6" s="3178"/>
      <c r="W6" s="3178"/>
      <c r="X6" s="1815"/>
      <c r="Y6" s="3176"/>
      <c r="Z6" s="3177"/>
      <c r="AA6" s="3184"/>
      <c r="AB6" s="3184"/>
      <c r="AC6" s="3184"/>
    </row>
    <row r="7" spans="1:29" s="116" customFormat="1" ht="15.75" thickBot="1">
      <c r="A7" s="407" t="s">
        <v>2540</v>
      </c>
      <c r="B7" s="408"/>
      <c r="C7" s="409">
        <f>'数据-取费表'!B2</f>
        <v>43487</v>
      </c>
      <c r="D7" s="410">
        <v>100</v>
      </c>
      <c r="E7" s="411"/>
      <c r="F7" s="412">
        <f>SUMIF(46:46,YEAR(E7)&amp;"-"&amp;MONTH(E7),47:47)</f>
        <v>0</v>
      </c>
      <c r="G7" s="2697"/>
      <c r="H7" s="410">
        <f>SUMIF(46:46,YEAR(G7)&amp;"-"&amp;MONTH(G7),47:47)</f>
        <v>0</v>
      </c>
      <c r="I7" s="411"/>
      <c r="J7" s="410">
        <f>SUMIF(46:46,YEAR(I7)&amp;"-"&amp;MONTH(I7),47:47)</f>
        <v>0</v>
      </c>
      <c r="K7" s="610"/>
      <c r="L7" s="1134"/>
      <c r="M7" s="1135"/>
      <c r="N7" s="1135"/>
      <c r="O7" s="1135"/>
      <c r="P7" s="3162" t="s">
        <v>2541</v>
      </c>
      <c r="Q7" s="3172"/>
      <c r="R7" s="769" t="s">
        <v>17</v>
      </c>
      <c r="S7" s="770">
        <f t="shared" ref="S7:S14" si="0">F7</f>
        <v>0</v>
      </c>
      <c r="T7" s="769" t="s">
        <v>17</v>
      </c>
      <c r="U7" s="770">
        <f t="shared" ref="U7:U14" si="1">H7</f>
        <v>0</v>
      </c>
      <c r="V7" s="769" t="s">
        <v>17</v>
      </c>
      <c r="W7" s="770">
        <f t="shared" ref="W7:W14" si="2">J7</f>
        <v>0</v>
      </c>
      <c r="X7" s="771"/>
      <c r="Y7" s="3162" t="s">
        <v>2541</v>
      </c>
      <c r="Z7" s="3163"/>
      <c r="AA7" s="772" t="e">
        <f>D7/F7</f>
        <v>#DIV/0!</v>
      </c>
      <c r="AB7" s="772" t="e">
        <f>D7/H7</f>
        <v>#DIV/0!</v>
      </c>
      <c r="AC7" s="772"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62" t="s">
        <v>2544</v>
      </c>
      <c r="Q8" s="3163"/>
      <c r="R8" s="769" t="s">
        <v>17</v>
      </c>
      <c r="S8" s="770">
        <f t="shared" si="0"/>
        <v>0</v>
      </c>
      <c r="T8" s="769" t="s">
        <v>17</v>
      </c>
      <c r="U8" s="770">
        <f t="shared" si="1"/>
        <v>0</v>
      </c>
      <c r="V8" s="769" t="s">
        <v>17</v>
      </c>
      <c r="W8" s="770">
        <f t="shared" si="2"/>
        <v>0</v>
      </c>
      <c r="X8" s="771"/>
      <c r="Y8" s="3162" t="s">
        <v>2544</v>
      </c>
      <c r="Z8" s="3163"/>
      <c r="AA8" s="772" t="e">
        <f t="shared" ref="AA8:AA34" si="3">D8/F8</f>
        <v>#DIV/0!</v>
      </c>
      <c r="AB8" s="772" t="e">
        <f t="shared" ref="AB8:AB34" si="4">D8/H8</f>
        <v>#DIV/0!</v>
      </c>
      <c r="AC8" s="772" t="e">
        <f t="shared" ref="AC8:AC34" si="5">D8/J8</f>
        <v>#DIV/0!</v>
      </c>
    </row>
    <row r="9" spans="1:29" s="116" customFormat="1">
      <c r="A9" s="414" t="s">
        <v>2545</v>
      </c>
      <c r="B9" s="71" t="s">
        <v>2546</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60" t="s">
        <v>2547</v>
      </c>
      <c r="Q9" s="1797" t="str">
        <f t="shared" ref="Q9:Q14" si="6">B9</f>
        <v>用途</v>
      </c>
      <c r="R9" s="769" t="s">
        <v>17</v>
      </c>
      <c r="S9" s="770">
        <f t="shared" si="0"/>
        <v>100</v>
      </c>
      <c r="T9" s="769" t="s">
        <v>17</v>
      </c>
      <c r="U9" s="770">
        <f t="shared" si="1"/>
        <v>100</v>
      </c>
      <c r="V9" s="769" t="s">
        <v>17</v>
      </c>
      <c r="W9" s="770">
        <f t="shared" si="2"/>
        <v>100</v>
      </c>
      <c r="X9" s="771"/>
      <c r="Y9" s="3015" t="s">
        <v>2548</v>
      </c>
      <c r="Z9" s="55" t="str">
        <f t="shared" ref="Z9:Z14" si="7">Q9</f>
        <v>用途</v>
      </c>
      <c r="AA9" s="772">
        <f t="shared" si="3"/>
        <v>1</v>
      </c>
      <c r="AB9" s="772">
        <f t="shared" si="4"/>
        <v>1</v>
      </c>
      <c r="AC9" s="772">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60"/>
      <c r="Q10" s="1797"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60"/>
      <c r="Q11" s="1797">
        <f t="shared" si="6"/>
        <v>111</v>
      </c>
      <c r="R11" s="769" t="s">
        <v>17</v>
      </c>
      <c r="S11" s="770">
        <f t="shared" si="0"/>
        <v>100</v>
      </c>
      <c r="T11" s="769" t="s">
        <v>17</v>
      </c>
      <c r="U11" s="770">
        <f t="shared" si="1"/>
        <v>100</v>
      </c>
      <c r="V11" s="769" t="s">
        <v>17</v>
      </c>
      <c r="W11" s="770">
        <f t="shared" si="2"/>
        <v>100</v>
      </c>
      <c r="X11" s="771"/>
      <c r="Y11" s="3015"/>
      <c r="Z11" s="55">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60"/>
      <c r="Q12" s="1797">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160"/>
      <c r="Q13" s="1797">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772">
        <f t="shared" si="5"/>
        <v>1</v>
      </c>
    </row>
    <row r="14" spans="1:29" ht="85.5">
      <c r="A14" s="439" t="s">
        <v>2551</v>
      </c>
      <c r="B14" s="69" t="s">
        <v>2701</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79" t="s">
        <v>2552</v>
      </c>
      <c r="Q14" s="1812" t="str">
        <f t="shared" si="6"/>
        <v>交通便捷度</v>
      </c>
      <c r="R14" s="773" t="s">
        <v>17</v>
      </c>
      <c r="S14" s="774">
        <f t="shared" si="0"/>
        <v>100</v>
      </c>
      <c r="T14" s="773" t="s">
        <v>17</v>
      </c>
      <c r="U14" s="774">
        <f t="shared" si="1"/>
        <v>100</v>
      </c>
      <c r="V14" s="773" t="s">
        <v>17</v>
      </c>
      <c r="W14" s="774">
        <f t="shared" si="2"/>
        <v>100</v>
      </c>
      <c r="X14" s="1815"/>
      <c r="Y14" s="3179" t="s">
        <v>2552</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80"/>
      <c r="Q15" s="1812"/>
      <c r="R15" s="773"/>
      <c r="S15" s="774"/>
      <c r="T15" s="773"/>
      <c r="U15" s="774"/>
      <c r="V15" s="773"/>
      <c r="W15" s="774"/>
      <c r="X15" s="1815"/>
      <c r="Y15" s="3180"/>
      <c r="Z15" s="1816"/>
      <c r="AA15" s="1813">
        <v>1</v>
      </c>
      <c r="AB15" s="1813">
        <v>1</v>
      </c>
      <c r="AC15" s="1813">
        <v>1</v>
      </c>
    </row>
    <row r="16" spans="1:29" ht="42.75">
      <c r="A16" s="427"/>
      <c r="B16" s="450" t="s">
        <v>2680</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0"/>
      <c r="Q16" s="1812" t="str">
        <f>B16</f>
        <v>公共配套设施</v>
      </c>
      <c r="R16" s="773" t="s">
        <v>17</v>
      </c>
      <c r="S16" s="774">
        <f>F16</f>
        <v>100</v>
      </c>
      <c r="T16" s="773" t="s">
        <v>17</v>
      </c>
      <c r="U16" s="774">
        <f>H16</f>
        <v>100</v>
      </c>
      <c r="V16" s="773" t="s">
        <v>17</v>
      </c>
      <c r="W16" s="774">
        <f>J16</f>
        <v>100</v>
      </c>
      <c r="X16" s="1815"/>
      <c r="Y16" s="3180"/>
      <c r="Z16" s="1816" t="str">
        <f>Q16</f>
        <v>公共配套设施</v>
      </c>
      <c r="AA16" s="1813">
        <f t="shared" si="3"/>
        <v>1</v>
      </c>
      <c r="AB16" s="1813">
        <f t="shared" si="4"/>
        <v>1</v>
      </c>
      <c r="AC16" s="1813">
        <f t="shared" si="5"/>
        <v>1</v>
      </c>
    </row>
    <row r="17" spans="1:29" ht="15">
      <c r="A17" s="427"/>
      <c r="B17" s="455"/>
      <c r="C17" s="2609"/>
      <c r="D17" s="447"/>
      <c r="E17" s="446"/>
      <c r="F17" s="448"/>
      <c r="G17" s="446"/>
      <c r="H17" s="447"/>
      <c r="I17" s="446"/>
      <c r="J17" s="447"/>
      <c r="K17" s="614"/>
      <c r="L17" s="1142"/>
      <c r="M17" s="1133"/>
      <c r="N17" s="1133"/>
      <c r="O17" s="1141"/>
      <c r="P17" s="3180"/>
      <c r="Q17" s="1812"/>
      <c r="R17" s="773"/>
      <c r="S17" s="774"/>
      <c r="T17" s="773"/>
      <c r="U17" s="774"/>
      <c r="V17" s="773"/>
      <c r="W17" s="774"/>
      <c r="X17" s="1815"/>
      <c r="Y17" s="3180"/>
      <c r="Z17" s="1816"/>
      <c r="AA17" s="1813">
        <v>1</v>
      </c>
      <c r="AB17" s="1813">
        <v>1</v>
      </c>
      <c r="AC17" s="1813">
        <v>1</v>
      </c>
    </row>
    <row r="18" spans="1:29" ht="28.5">
      <c r="A18" s="427"/>
      <c r="B18" s="1386" t="s">
        <v>2681</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0"/>
      <c r="Q18" s="1812" t="str">
        <f>B18</f>
        <v>基础设施水平</v>
      </c>
      <c r="R18" s="773" t="s">
        <v>17</v>
      </c>
      <c r="S18" s="774">
        <f>F18</f>
        <v>100</v>
      </c>
      <c r="T18" s="773" t="s">
        <v>17</v>
      </c>
      <c r="U18" s="774">
        <f>H18</f>
        <v>100</v>
      </c>
      <c r="V18" s="773" t="s">
        <v>17</v>
      </c>
      <c r="W18" s="774">
        <f>J18</f>
        <v>100</v>
      </c>
      <c r="X18" s="1815"/>
      <c r="Y18" s="3180"/>
      <c r="Z18" s="1816" t="str">
        <f>Q18</f>
        <v>基础设施水平</v>
      </c>
      <c r="AA18" s="1813">
        <f t="shared" ref="AA18" si="8">D18/F18</f>
        <v>1</v>
      </c>
      <c r="AB18" s="1813">
        <f t="shared" ref="AB18" si="9">D18/H18</f>
        <v>1</v>
      </c>
      <c r="AC18" s="1813">
        <f t="shared" ref="AC18" si="10">D18/J18</f>
        <v>1</v>
      </c>
    </row>
    <row r="19" spans="1:29" ht="15">
      <c r="A19" s="427"/>
      <c r="B19" s="1386"/>
      <c r="C19" s="2609"/>
      <c r="D19" s="449"/>
      <c r="E19" s="2609"/>
      <c r="F19" s="452"/>
      <c r="G19" s="2609"/>
      <c r="H19" s="447"/>
      <c r="I19" s="446"/>
      <c r="J19" s="447"/>
      <c r="K19" s="1385"/>
      <c r="L19" s="1142"/>
      <c r="M19" s="1133"/>
      <c r="N19" s="1133"/>
      <c r="O19" s="1141"/>
      <c r="P19" s="3180"/>
      <c r="Q19" s="1812"/>
      <c r="R19" s="773"/>
      <c r="S19" s="774"/>
      <c r="T19" s="773"/>
      <c r="U19" s="774"/>
      <c r="V19" s="773"/>
      <c r="W19" s="774"/>
      <c r="X19" s="1815"/>
      <c r="Y19" s="3180"/>
      <c r="Z19" s="1816"/>
      <c r="AA19" s="1813">
        <v>1</v>
      </c>
      <c r="AB19" s="1813">
        <v>1</v>
      </c>
      <c r="AC19" s="1813">
        <v>1</v>
      </c>
    </row>
    <row r="20" spans="1:29" ht="57">
      <c r="A20" s="427"/>
      <c r="B20" s="450" t="s">
        <v>2702</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0"/>
      <c r="Q20" s="1812" t="str">
        <f>B20</f>
        <v>自然及人文环境</v>
      </c>
      <c r="R20" s="773" t="s">
        <v>17</v>
      </c>
      <c r="S20" s="774">
        <f>F20</f>
        <v>100</v>
      </c>
      <c r="T20" s="773" t="s">
        <v>17</v>
      </c>
      <c r="U20" s="774">
        <f>H20</f>
        <v>100</v>
      </c>
      <c r="V20" s="773" t="s">
        <v>17</v>
      </c>
      <c r="W20" s="774">
        <f>J20</f>
        <v>100</v>
      </c>
      <c r="X20" s="1815"/>
      <c r="Y20" s="3180"/>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80"/>
      <c r="Q21" s="1812"/>
      <c r="R21" s="773"/>
      <c r="S21" s="774"/>
      <c r="T21" s="773"/>
      <c r="U21" s="774"/>
      <c r="V21" s="773"/>
      <c r="W21" s="774"/>
      <c r="X21" s="1815"/>
      <c r="Y21" s="3180"/>
      <c r="Z21" s="1816"/>
      <c r="AA21" s="1813">
        <v>1</v>
      </c>
      <c r="AB21" s="1813">
        <v>1</v>
      </c>
      <c r="AC21" s="1813">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0"/>
      <c r="Q22" s="1812" t="str">
        <f>B22</f>
        <v>楼层</v>
      </c>
      <c r="R22" s="773" t="s">
        <v>17</v>
      </c>
      <c r="S22" s="774">
        <f>F22</f>
        <v>100</v>
      </c>
      <c r="T22" s="773" t="s">
        <v>17</v>
      </c>
      <c r="U22" s="774">
        <f>H22</f>
        <v>100</v>
      </c>
      <c r="V22" s="773" t="s">
        <v>17</v>
      </c>
      <c r="W22" s="774">
        <f>J22</f>
        <v>100</v>
      </c>
      <c r="X22" s="1815"/>
      <c r="Y22" s="3180"/>
      <c r="Z22" s="1816" t="str">
        <f>Q22</f>
        <v>楼层</v>
      </c>
      <c r="AA22" s="1813">
        <f t="shared" si="3"/>
        <v>1</v>
      </c>
      <c r="AB22" s="1813">
        <f t="shared" si="4"/>
        <v>1</v>
      </c>
      <c r="AC22" s="1813">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0"/>
      <c r="Q23" s="1812">
        <f>B23</f>
        <v>111</v>
      </c>
      <c r="R23" s="773" t="s">
        <v>17</v>
      </c>
      <c r="S23" s="774">
        <f>F23</f>
        <v>100</v>
      </c>
      <c r="T23" s="773" t="s">
        <v>17</v>
      </c>
      <c r="U23" s="774">
        <f>H23</f>
        <v>100</v>
      </c>
      <c r="V23" s="773" t="s">
        <v>17</v>
      </c>
      <c r="W23" s="774">
        <f>J23</f>
        <v>100</v>
      </c>
      <c r="X23" s="1815"/>
      <c r="Y23" s="3180"/>
      <c r="Z23" s="1816">
        <f>Q23</f>
        <v>111</v>
      </c>
      <c r="AA23" s="1813">
        <f t="shared" si="3"/>
        <v>1</v>
      </c>
      <c r="AB23" s="1813">
        <f t="shared" si="4"/>
        <v>1</v>
      </c>
      <c r="AC23" s="1813">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0"/>
      <c r="Q24" s="1812">
        <f t="shared" ref="Q24:Q34" si="11">B24</f>
        <v>111</v>
      </c>
      <c r="R24" s="773" t="s">
        <v>17</v>
      </c>
      <c r="S24" s="774">
        <f>F24</f>
        <v>100</v>
      </c>
      <c r="T24" s="773" t="s">
        <v>17</v>
      </c>
      <c r="U24" s="774">
        <f>H24</f>
        <v>100</v>
      </c>
      <c r="V24" s="773" t="s">
        <v>17</v>
      </c>
      <c r="W24" s="774">
        <f>J24</f>
        <v>100</v>
      </c>
      <c r="X24" s="1815"/>
      <c r="Y24" s="3180"/>
      <c r="Z24" s="1816">
        <f>Q24</f>
        <v>111</v>
      </c>
      <c r="AA24" s="1813">
        <f t="shared" si="3"/>
        <v>1</v>
      </c>
      <c r="AB24" s="1813">
        <f t="shared" si="4"/>
        <v>1</v>
      </c>
      <c r="AC24" s="1813">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180"/>
      <c r="Q25" s="1797">
        <f t="shared" si="11"/>
        <v>111</v>
      </c>
      <c r="R25" s="769" t="s">
        <v>17</v>
      </c>
      <c r="S25" s="770">
        <f>F25</f>
        <v>100</v>
      </c>
      <c r="T25" s="769" t="s">
        <v>17</v>
      </c>
      <c r="U25" s="770">
        <f>H25</f>
        <v>100</v>
      </c>
      <c r="V25" s="769" t="s">
        <v>17</v>
      </c>
      <c r="W25" s="770">
        <f>J25</f>
        <v>100</v>
      </c>
      <c r="X25" s="771"/>
      <c r="Y25" s="3180"/>
      <c r="Z25" s="55">
        <f>Q25</f>
        <v>111</v>
      </c>
      <c r="AA25" s="1813">
        <f>D25/F25</f>
        <v>1</v>
      </c>
      <c r="AB25" s="1813">
        <f>D25/H25</f>
        <v>1</v>
      </c>
      <c r="AC25" s="1813">
        <f>D25/J25</f>
        <v>1</v>
      </c>
    </row>
    <row r="26" spans="1:29" ht="28.5">
      <c r="A26" s="465" t="s">
        <v>2555</v>
      </c>
      <c r="B26" s="71" t="s">
        <v>2706</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196" t="s">
        <v>2557</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81" t="s">
        <v>2557</v>
      </c>
      <c r="Z26" s="1816" t="str">
        <f t="shared" ref="Z26:Z34" si="15">Q26</f>
        <v>公共部分装修</v>
      </c>
      <c r="AA26" s="1813">
        <f t="shared" si="3"/>
        <v>1</v>
      </c>
      <c r="AB26" s="1813">
        <f t="shared" si="4"/>
        <v>1</v>
      </c>
      <c r="AC26" s="1813">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1"/>
      <c r="Q27" s="775" t="str">
        <f t="shared" si="11"/>
        <v>成新率</v>
      </c>
      <c r="R27" s="776" t="s">
        <v>17</v>
      </c>
      <c r="S27" s="777" t="e">
        <f t="shared" si="12"/>
        <v>#N/A</v>
      </c>
      <c r="T27" s="776" t="s">
        <v>17</v>
      </c>
      <c r="U27" s="777" t="e">
        <f t="shared" si="13"/>
        <v>#N/A</v>
      </c>
      <c r="V27" s="776" t="s">
        <v>17</v>
      </c>
      <c r="W27" s="777" t="e">
        <f t="shared" si="14"/>
        <v>#N/A</v>
      </c>
      <c r="X27" s="778"/>
      <c r="Y27" s="3181"/>
      <c r="Z27" s="779" t="str">
        <f t="shared" si="15"/>
        <v>成新率</v>
      </c>
      <c r="AA27" s="1813" t="e">
        <f t="shared" si="3"/>
        <v>#N/A</v>
      </c>
      <c r="AB27" s="1813" t="e">
        <f t="shared" si="4"/>
        <v>#N/A</v>
      </c>
      <c r="AC27" s="1813"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1"/>
      <c r="Q28" s="1812" t="str">
        <f t="shared" si="11"/>
        <v>物业等级</v>
      </c>
      <c r="R28" s="773" t="s">
        <v>17</v>
      </c>
      <c r="S28" s="774">
        <f t="shared" si="12"/>
        <v>100</v>
      </c>
      <c r="T28" s="773" t="s">
        <v>17</v>
      </c>
      <c r="U28" s="774">
        <f t="shared" si="13"/>
        <v>100</v>
      </c>
      <c r="V28" s="773" t="s">
        <v>17</v>
      </c>
      <c r="W28" s="774">
        <f t="shared" si="14"/>
        <v>100</v>
      </c>
      <c r="X28" s="1815"/>
      <c r="Y28" s="3181"/>
      <c r="Z28" s="1816" t="str">
        <f t="shared" si="15"/>
        <v>物业等级</v>
      </c>
      <c r="AA28" s="1813">
        <f t="shared" si="3"/>
        <v>1</v>
      </c>
      <c r="AB28" s="1813">
        <f t="shared" si="4"/>
        <v>1</v>
      </c>
      <c r="AC28" s="1813">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1"/>
      <c r="Q29" s="1812" t="str">
        <f t="shared" si="11"/>
        <v>有无电梯</v>
      </c>
      <c r="R29" s="773" t="s">
        <v>17</v>
      </c>
      <c r="S29" s="774">
        <f t="shared" si="12"/>
        <v>100</v>
      </c>
      <c r="T29" s="773" t="s">
        <v>17</v>
      </c>
      <c r="U29" s="774">
        <f t="shared" si="13"/>
        <v>100</v>
      </c>
      <c r="V29" s="773" t="s">
        <v>17</v>
      </c>
      <c r="W29" s="774">
        <f t="shared" si="14"/>
        <v>100</v>
      </c>
      <c r="X29" s="1815"/>
      <c r="Y29" s="3181"/>
      <c r="Z29" s="1816" t="str">
        <f t="shared" si="15"/>
        <v>有无电梯</v>
      </c>
      <c r="AA29" s="1813">
        <f t="shared" si="3"/>
        <v>1</v>
      </c>
      <c r="AB29" s="1813">
        <f t="shared" si="4"/>
        <v>1</v>
      </c>
      <c r="AC29" s="1813">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1"/>
      <c r="Q30" s="1812" t="str">
        <f t="shared" si="11"/>
        <v>建筑面积</v>
      </c>
      <c r="R30" s="773" t="s">
        <v>17</v>
      </c>
      <c r="S30" s="774" t="e">
        <f t="shared" si="12"/>
        <v>#N/A</v>
      </c>
      <c r="T30" s="773" t="s">
        <v>17</v>
      </c>
      <c r="U30" s="774" t="e">
        <f t="shared" si="13"/>
        <v>#N/A</v>
      </c>
      <c r="V30" s="773" t="s">
        <v>17</v>
      </c>
      <c r="W30" s="774" t="e">
        <f t="shared" si="14"/>
        <v>#N/A</v>
      </c>
      <c r="X30" s="1815"/>
      <c r="Y30" s="3181"/>
      <c r="Z30" s="1816" t="str">
        <f t="shared" si="15"/>
        <v>建筑面积</v>
      </c>
      <c r="AA30" s="1813" t="e">
        <f t="shared" si="3"/>
        <v>#N/A</v>
      </c>
      <c r="AB30" s="1813" t="e">
        <f t="shared" si="4"/>
        <v>#N/A</v>
      </c>
      <c r="AC30" s="1813"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1"/>
      <c r="Q31" s="1797" t="str">
        <f t="shared" si="11"/>
        <v>是否封闭</v>
      </c>
      <c r="R31" s="769" t="s">
        <v>17</v>
      </c>
      <c r="S31" s="770">
        <f t="shared" si="12"/>
        <v>100</v>
      </c>
      <c r="T31" s="769" t="s">
        <v>17</v>
      </c>
      <c r="U31" s="770">
        <f t="shared" si="13"/>
        <v>100</v>
      </c>
      <c r="V31" s="769" t="s">
        <v>17</v>
      </c>
      <c r="W31" s="770">
        <f t="shared" si="14"/>
        <v>100</v>
      </c>
      <c r="X31" s="771"/>
      <c r="Y31" s="3181"/>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1" t="s">
        <v>2557</v>
      </c>
      <c r="Q32" s="1812">
        <f t="shared" si="11"/>
        <v>111</v>
      </c>
      <c r="R32" s="773" t="s">
        <v>17</v>
      </c>
      <c r="S32" s="774">
        <f t="shared" si="12"/>
        <v>100</v>
      </c>
      <c r="T32" s="773" t="s">
        <v>17</v>
      </c>
      <c r="U32" s="774">
        <f t="shared" si="13"/>
        <v>100</v>
      </c>
      <c r="V32" s="773" t="s">
        <v>17</v>
      </c>
      <c r="W32" s="774">
        <f t="shared" si="14"/>
        <v>100</v>
      </c>
      <c r="X32" s="1815"/>
      <c r="Y32" s="3181" t="s">
        <v>2557</v>
      </c>
      <c r="Z32" s="1816">
        <f t="shared" si="15"/>
        <v>111</v>
      </c>
      <c r="AA32" s="1813">
        <f t="shared" si="3"/>
        <v>1</v>
      </c>
      <c r="AB32" s="1813">
        <f t="shared" si="4"/>
        <v>1</v>
      </c>
      <c r="AC32" s="1813">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1"/>
      <c r="Q33" s="1812">
        <f t="shared" si="11"/>
        <v>111</v>
      </c>
      <c r="R33" s="773" t="s">
        <v>17</v>
      </c>
      <c r="S33" s="774">
        <f t="shared" si="12"/>
        <v>100</v>
      </c>
      <c r="T33" s="773" t="s">
        <v>17</v>
      </c>
      <c r="U33" s="774">
        <f t="shared" si="13"/>
        <v>100</v>
      </c>
      <c r="V33" s="773" t="s">
        <v>17</v>
      </c>
      <c r="W33" s="774">
        <f t="shared" si="14"/>
        <v>100</v>
      </c>
      <c r="X33" s="1815"/>
      <c r="Y33" s="3181"/>
      <c r="Z33" s="1816">
        <f t="shared" si="15"/>
        <v>111</v>
      </c>
      <c r="AA33" s="1813">
        <f t="shared" si="3"/>
        <v>1</v>
      </c>
      <c r="AB33" s="1813">
        <f t="shared" si="4"/>
        <v>1</v>
      </c>
      <c r="AC33" s="1813">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181"/>
      <c r="Q34" s="1812">
        <f t="shared" si="11"/>
        <v>111</v>
      </c>
      <c r="R34" s="773" t="s">
        <v>17</v>
      </c>
      <c r="S34" s="774">
        <f t="shared" si="12"/>
        <v>100</v>
      </c>
      <c r="T34" s="773" t="s">
        <v>17</v>
      </c>
      <c r="U34" s="774">
        <f t="shared" si="13"/>
        <v>100</v>
      </c>
      <c r="V34" s="773" t="s">
        <v>17</v>
      </c>
      <c r="W34" s="774">
        <f t="shared" si="14"/>
        <v>100</v>
      </c>
      <c r="X34" s="1815"/>
      <c r="Y34" s="3181"/>
      <c r="Z34" s="1816">
        <f t="shared" si="15"/>
        <v>111</v>
      </c>
      <c r="AA34" s="1813">
        <f t="shared" si="3"/>
        <v>1</v>
      </c>
      <c r="AB34" s="1813">
        <f t="shared" si="4"/>
        <v>1</v>
      </c>
      <c r="AC34" s="1813">
        <f t="shared" si="5"/>
        <v>1</v>
      </c>
    </row>
    <row r="35" spans="1:29" ht="15">
      <c r="A35" s="478" t="s">
        <v>2569</v>
      </c>
      <c r="B35" s="479"/>
      <c r="C35" s="1409" t="s">
        <v>1</v>
      </c>
      <c r="D35" s="1410"/>
      <c r="E35" s="1411"/>
      <c r="F35" s="1412"/>
      <c r="G35" s="1413"/>
      <c r="H35" s="1414"/>
      <c r="I35" s="1411"/>
      <c r="J35" s="1414"/>
      <c r="K35" s="782"/>
      <c r="L35" s="1145"/>
      <c r="M35" s="1146"/>
      <c r="N35" s="1133"/>
      <c r="O35" s="1146"/>
      <c r="P35" s="3160" t="str">
        <f>A35</f>
        <v>成交单价（元/平方米）</v>
      </c>
      <c r="Q35" s="3160"/>
      <c r="R35" s="3232">
        <f>E35</f>
        <v>0</v>
      </c>
      <c r="S35" s="3232"/>
      <c r="T35" s="3232">
        <f>G35</f>
        <v>0</v>
      </c>
      <c r="U35" s="3232"/>
      <c r="V35" s="3232">
        <f>I35</f>
        <v>0</v>
      </c>
      <c r="W35" s="3232"/>
      <c r="X35" s="758"/>
      <c r="Y35" s="780"/>
      <c r="Z35" s="758"/>
      <c r="AA35" s="758"/>
      <c r="AB35" s="758"/>
      <c r="AC35" s="758"/>
    </row>
    <row r="36" spans="1:29" ht="15.75" thickBot="1">
      <c r="A36" s="485" t="s">
        <v>2661</v>
      </c>
      <c r="B36" s="486"/>
      <c r="C36" s="1415" t="e">
        <f>R37</f>
        <v>#DIV/0!</v>
      </c>
      <c r="D36" s="1416"/>
      <c r="E36" s="1417" t="e">
        <f>R36</f>
        <v>#DIV/0!</v>
      </c>
      <c r="F36" s="1417"/>
      <c r="G36" s="1415" t="e">
        <f>T36</f>
        <v>#DIV/0!</v>
      </c>
      <c r="H36" s="1416"/>
      <c r="I36" s="1417" t="e">
        <f>V36</f>
        <v>#DIV/0!</v>
      </c>
      <c r="J36" s="1416"/>
      <c r="K36" s="783"/>
      <c r="L36" s="1145"/>
      <c r="M36" s="1146"/>
      <c r="N36" s="1133"/>
      <c r="O36" s="1146"/>
      <c r="P36" s="3160" t="str">
        <f>A36</f>
        <v>比较价值（元/平方米）</v>
      </c>
      <c r="Q36" s="3160"/>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8"/>
      <c r="Y36" s="758"/>
      <c r="Z36" s="758"/>
      <c r="AA36" s="758"/>
      <c r="AB36" s="758"/>
      <c r="AC36" s="758"/>
    </row>
    <row r="37" spans="1:29" ht="15.75" thickBot="1">
      <c r="A37" s="491" t="s">
        <v>2662</v>
      </c>
      <c r="B37" s="492"/>
      <c r="C37" s="1419" t="e">
        <f>R37</f>
        <v>#DIV/0!</v>
      </c>
      <c r="D37" s="1419"/>
      <c r="E37" s="1419"/>
      <c r="F37" s="1419"/>
      <c r="G37" s="1419"/>
      <c r="H37" s="1419"/>
      <c r="I37" s="1419"/>
      <c r="J37" s="1419"/>
      <c r="K37" s="784"/>
      <c r="L37" s="1145"/>
      <c r="M37" s="1146"/>
      <c r="N37" s="1146"/>
      <c r="O37" s="1146"/>
      <c r="P37" s="3197" t="str">
        <f>A37</f>
        <v>估价对象XX用房的比较价值（楼面单价，元/平方米）</v>
      </c>
      <c r="Q37" s="3198"/>
      <c r="R37" s="3231" t="e">
        <f>IF(F1="售价",ROUND(AVERAGE(R36:V36),0),ROUND(AVERAGE(R36:V36),1))</f>
        <v>#DIV/0!</v>
      </c>
      <c r="S37" s="3231"/>
      <c r="T37" s="3231"/>
      <c r="U37" s="3231"/>
      <c r="V37" s="3231"/>
      <c r="W37" s="3231"/>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2666</v>
      </c>
      <c r="B45" s="758"/>
      <c r="C45" s="763"/>
      <c r="D45" s="763"/>
      <c r="E45" s="763"/>
      <c r="F45" s="764"/>
      <c r="G45" s="764"/>
      <c r="H45" s="763"/>
      <c r="I45" s="763"/>
      <c r="J45" s="763"/>
      <c r="K45" s="765"/>
      <c r="L45" s="766"/>
      <c r="M45" s="763"/>
      <c r="N45" s="763"/>
      <c r="O45" s="763"/>
      <c r="P45" s="502"/>
      <c r="Q45" s="503"/>
    </row>
    <row r="46" spans="1:29" s="507" customFormat="1" ht="15">
      <c r="A46" s="504" t="s">
        <v>2540</v>
      </c>
      <c r="B46" s="505"/>
      <c r="C46" s="1576" t="str">
        <f>YEAR(C7)&amp;"-"&amp;MONTH(C7)</f>
        <v>2019-1</v>
      </c>
      <c r="D46" s="1577">
        <f>EDATE(C46,-1)</f>
        <v>43435</v>
      </c>
      <c r="E46" s="1577">
        <f t="shared" ref="E46:O46" si="16">EDATE(D46,-1)</f>
        <v>43405</v>
      </c>
      <c r="F46" s="1577">
        <f t="shared" si="16"/>
        <v>43374</v>
      </c>
      <c r="G46" s="1577">
        <f t="shared" si="16"/>
        <v>43344</v>
      </c>
      <c r="H46" s="1577">
        <f t="shared" si="16"/>
        <v>43313</v>
      </c>
      <c r="I46" s="1577">
        <f t="shared" si="16"/>
        <v>43282</v>
      </c>
      <c r="J46" s="1577">
        <f t="shared" si="16"/>
        <v>43252</v>
      </c>
      <c r="K46" s="1577">
        <f t="shared" si="16"/>
        <v>43221</v>
      </c>
      <c r="L46" s="1577">
        <f t="shared" si="16"/>
        <v>43191</v>
      </c>
      <c r="M46" s="1577">
        <f t="shared" si="16"/>
        <v>43160</v>
      </c>
      <c r="N46" s="1577">
        <f t="shared" si="16"/>
        <v>43132</v>
      </c>
      <c r="O46" s="1577">
        <f t="shared" si="16"/>
        <v>43101</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2580</v>
      </c>
      <c r="B51" s="527" t="s">
        <v>2546</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2721</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2555</v>
      </c>
      <c r="B77" s="527" t="s">
        <v>2608</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2725</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2733</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2735</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2319</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2321</v>
      </c>
      <c r="B3" s="608" t="e">
        <f>ROUND(IF(D3="",B2*10000/'数据-汇总表'!E3,B2*10000/D3),0)</f>
        <v>#DIV/0!</v>
      </c>
      <c r="C3" s="246" t="s">
        <v>2738</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2637</v>
      </c>
      <c r="B4" s="401"/>
      <c r="C4" s="3157" t="s">
        <v>2638</v>
      </c>
      <c r="D4" s="3185"/>
      <c r="E4" s="3186" t="s">
        <v>2639</v>
      </c>
      <c r="F4" s="3187"/>
      <c r="G4" s="3157" t="s">
        <v>2640</v>
      </c>
      <c r="H4" s="3185"/>
      <c r="I4" s="3157" t="s">
        <v>2641</v>
      </c>
      <c r="J4" s="3185"/>
      <c r="K4" s="609" t="s">
        <v>2642</v>
      </c>
      <c r="L4" s="1132"/>
      <c r="M4" s="1133"/>
      <c r="N4" s="1133"/>
      <c r="O4" s="1133"/>
      <c r="P4" s="3188" t="s">
        <v>2643</v>
      </c>
      <c r="Q4" s="3189"/>
      <c r="R4" s="3164" t="s">
        <v>2639</v>
      </c>
      <c r="S4" s="3165"/>
      <c r="T4" s="3164" t="s">
        <v>2640</v>
      </c>
      <c r="U4" s="3165"/>
      <c r="V4" s="3178" t="s">
        <v>2641</v>
      </c>
      <c r="W4" s="3178"/>
      <c r="X4" s="1815"/>
      <c r="Y4" s="3164" t="s">
        <v>2643</v>
      </c>
      <c r="Z4" s="3165"/>
      <c r="AA4" s="3182" t="s">
        <v>2639</v>
      </c>
      <c r="AB4" s="3183" t="s">
        <v>2640</v>
      </c>
      <c r="AC4" s="3182" t="s">
        <v>2641</v>
      </c>
    </row>
    <row r="5" spans="1:30" ht="15">
      <c r="A5" s="403"/>
      <c r="B5" s="404"/>
      <c r="C5" s="3168" t="s">
        <v>2534</v>
      </c>
      <c r="D5" s="3169"/>
      <c r="E5" s="3194" t="s">
        <v>2535</v>
      </c>
      <c r="F5" s="3195"/>
      <c r="G5" s="3168" t="s">
        <v>2536</v>
      </c>
      <c r="H5" s="3169"/>
      <c r="I5" s="3168" t="s">
        <v>2537</v>
      </c>
      <c r="J5" s="3169"/>
      <c r="K5" s="609"/>
      <c r="L5" s="1132"/>
      <c r="M5" s="1133"/>
      <c r="N5" s="1133"/>
      <c r="O5" s="1133"/>
      <c r="P5" s="3190"/>
      <c r="Q5" s="3191"/>
      <c r="R5" s="3166"/>
      <c r="S5" s="3167"/>
      <c r="T5" s="3166"/>
      <c r="U5" s="3167"/>
      <c r="V5" s="3178"/>
      <c r="W5" s="3178"/>
      <c r="X5" s="1815"/>
      <c r="Y5" s="3166"/>
      <c r="Z5" s="3167"/>
      <c r="AA5" s="3183"/>
      <c r="AB5" s="3183"/>
      <c r="AC5" s="3183"/>
    </row>
    <row r="6" spans="1:30" ht="15.75" thickBot="1">
      <c r="A6" s="405"/>
      <c r="B6" s="406"/>
      <c r="C6" s="3239" t="s">
        <v>2538</v>
      </c>
      <c r="D6" s="3240"/>
      <c r="E6" s="3241" t="s">
        <v>2538</v>
      </c>
      <c r="F6" s="3242"/>
      <c r="G6" s="3239" t="s">
        <v>2538</v>
      </c>
      <c r="H6" s="3240"/>
      <c r="I6" s="3239" t="s">
        <v>2538</v>
      </c>
      <c r="J6" s="3240"/>
      <c r="K6" s="609" t="s">
        <v>2539</v>
      </c>
      <c r="L6" s="1132"/>
      <c r="M6" s="1133"/>
      <c r="N6" s="1133"/>
      <c r="O6" s="1133"/>
      <c r="P6" s="3192"/>
      <c r="Q6" s="3193"/>
      <c r="R6" s="3166"/>
      <c r="S6" s="3167"/>
      <c r="T6" s="3176"/>
      <c r="U6" s="3177"/>
      <c r="V6" s="3178"/>
      <c r="W6" s="3178"/>
      <c r="X6" s="1815"/>
      <c r="Y6" s="3176"/>
      <c r="Z6" s="3177"/>
      <c r="AA6" s="3184"/>
      <c r="AB6" s="3184"/>
      <c r="AC6" s="3184"/>
    </row>
    <row r="7" spans="1:30" s="116" customFormat="1" ht="15.75" thickBot="1">
      <c r="A7" s="407" t="s">
        <v>2540</v>
      </c>
      <c r="B7" s="408"/>
      <c r="C7" s="409">
        <f>'数据-取费表'!B2</f>
        <v>43487</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4"/>
      <c r="M7" s="1135"/>
      <c r="N7" s="1135"/>
      <c r="O7" s="1135"/>
      <c r="P7" s="3162" t="s">
        <v>2541</v>
      </c>
      <c r="Q7" s="3172"/>
      <c r="R7" s="769" t="s">
        <v>17</v>
      </c>
      <c r="S7" s="770">
        <f t="shared" ref="S7:S15" si="0">F7</f>
        <v>0</v>
      </c>
      <c r="T7" s="769" t="s">
        <v>17</v>
      </c>
      <c r="U7" s="770">
        <f t="shared" ref="U7:U15" si="1">H7</f>
        <v>0</v>
      </c>
      <c r="V7" s="769" t="s">
        <v>17</v>
      </c>
      <c r="W7" s="770">
        <f t="shared" ref="W7:W15" si="2">J7</f>
        <v>0</v>
      </c>
      <c r="X7" s="771"/>
      <c r="Y7" s="3162" t="s">
        <v>2541</v>
      </c>
      <c r="Z7" s="3163"/>
      <c r="AA7" s="772" t="e">
        <f>D7/F7</f>
        <v>#DIV/0!</v>
      </c>
      <c r="AB7" s="772" t="e">
        <f>D7/H7</f>
        <v>#DIV/0!</v>
      </c>
      <c r="AC7" s="772" t="e">
        <f>D7/J7</f>
        <v>#DIV/0!</v>
      </c>
    </row>
    <row r="8" spans="1:30" s="116" customFormat="1" ht="15.75" thickBot="1">
      <c r="A8" s="407" t="s">
        <v>2542</v>
      </c>
      <c r="B8" s="408"/>
      <c r="C8" s="413" t="s">
        <v>2543</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62" t="s">
        <v>2544</v>
      </c>
      <c r="Q8" s="3163"/>
      <c r="R8" s="769" t="s">
        <v>17</v>
      </c>
      <c r="S8" s="770">
        <f t="shared" si="0"/>
        <v>0</v>
      </c>
      <c r="T8" s="769" t="s">
        <v>17</v>
      </c>
      <c r="U8" s="770">
        <f t="shared" si="1"/>
        <v>0</v>
      </c>
      <c r="V8" s="769" t="s">
        <v>17</v>
      </c>
      <c r="W8" s="770">
        <f t="shared" si="2"/>
        <v>0</v>
      </c>
      <c r="X8" s="771"/>
      <c r="Y8" s="3162" t="s">
        <v>2544</v>
      </c>
      <c r="Z8" s="3163"/>
      <c r="AA8" s="772" t="e">
        <f t="shared" ref="AA8:AA45" si="3">D8/F8</f>
        <v>#DIV/0!</v>
      </c>
      <c r="AB8" s="772" t="e">
        <f t="shared" ref="AB8:AB45" si="4">D8/H8</f>
        <v>#DIV/0!</v>
      </c>
      <c r="AC8" s="772" t="e">
        <f t="shared" ref="AC8:AC45" si="5">D8/J8</f>
        <v>#DIV/0!</v>
      </c>
    </row>
    <row r="9" spans="1:30" s="116" customFormat="1">
      <c r="A9" s="414" t="s">
        <v>2545</v>
      </c>
      <c r="B9" s="71" t="s">
        <v>2546</v>
      </c>
      <c r="C9" s="2700"/>
      <c r="D9" s="134">
        <v>100</v>
      </c>
      <c r="E9" s="2700"/>
      <c r="F9" s="134">
        <f>SUMIF(75:75,E9,76:76)-SUMIF(75:75,C9,76:76)+100</f>
        <v>100</v>
      </c>
      <c r="G9" s="2700"/>
      <c r="H9" s="134">
        <f>SUMIF(75:75,G9,76:76)-SUMIF(75:75,C9,76:76)+100</f>
        <v>100</v>
      </c>
      <c r="I9" s="2700"/>
      <c r="J9" s="134">
        <f>SUMIF(75:75,I9,76:76)-SUMIF(75:75,C9,76:76)+100</f>
        <v>100</v>
      </c>
      <c r="K9" s="610"/>
      <c r="L9" s="1134"/>
      <c r="M9" s="1135"/>
      <c r="N9" s="1135"/>
      <c r="O9" s="1136"/>
      <c r="P9" s="3160" t="s">
        <v>2547</v>
      </c>
      <c r="Q9" s="1797" t="str">
        <f t="shared" ref="Q9:Q15" si="6">B9</f>
        <v>用途</v>
      </c>
      <c r="R9" s="769" t="s">
        <v>17</v>
      </c>
      <c r="S9" s="770">
        <f t="shared" si="0"/>
        <v>100</v>
      </c>
      <c r="T9" s="769" t="s">
        <v>17</v>
      </c>
      <c r="U9" s="770">
        <f t="shared" si="1"/>
        <v>100</v>
      </c>
      <c r="V9" s="769" t="s">
        <v>17</v>
      </c>
      <c r="W9" s="770">
        <f t="shared" si="2"/>
        <v>100</v>
      </c>
      <c r="X9" s="771"/>
      <c r="Y9" s="3015" t="s">
        <v>2548</v>
      </c>
      <c r="Z9" s="55" t="str">
        <f t="shared" ref="Z9:Z15" si="7">Q9</f>
        <v>用途</v>
      </c>
      <c r="AA9" s="772">
        <f t="shared" si="3"/>
        <v>1</v>
      </c>
      <c r="AB9" s="772">
        <f t="shared" si="4"/>
        <v>1</v>
      </c>
      <c r="AC9" s="772">
        <f t="shared" si="5"/>
        <v>1</v>
      </c>
    </row>
    <row r="10" spans="1:30" s="426" customFormat="1" ht="27">
      <c r="A10" s="420"/>
      <c r="B10" s="421" t="s">
        <v>2549</v>
      </c>
      <c r="C10" s="431"/>
      <c r="D10" s="135">
        <v>100</v>
      </c>
      <c r="E10" s="464"/>
      <c r="F10" s="135">
        <f>ROUND(100/'数据-取费表'!G16,0)</f>
        <v>102</v>
      </c>
      <c r="G10" s="462"/>
      <c r="H10" s="135">
        <f>ROUND(100/'数据-取费表'!G16,0)</f>
        <v>102</v>
      </c>
      <c r="I10" s="462"/>
      <c r="J10" s="135">
        <f>ROUND(100/'数据-取费表'!G16,0)</f>
        <v>102</v>
      </c>
      <c r="K10" s="671"/>
      <c r="L10" s="1137"/>
      <c r="M10" s="1138"/>
      <c r="N10" s="1138"/>
      <c r="O10" s="1139"/>
      <c r="P10" s="3160"/>
      <c r="Q10" s="1797" t="str">
        <f t="shared" si="6"/>
        <v>土地使用年限（年）</v>
      </c>
      <c r="R10" s="769" t="s">
        <v>17</v>
      </c>
      <c r="S10" s="770">
        <f t="shared" si="0"/>
        <v>102</v>
      </c>
      <c r="T10" s="769" t="s">
        <v>17</v>
      </c>
      <c r="U10" s="770">
        <f t="shared" si="1"/>
        <v>102</v>
      </c>
      <c r="V10" s="769" t="s">
        <v>17</v>
      </c>
      <c r="W10" s="770">
        <f t="shared" si="2"/>
        <v>102</v>
      </c>
      <c r="X10" s="771"/>
      <c r="Y10" s="3015"/>
      <c r="Z10" s="55" t="str">
        <f t="shared" si="7"/>
        <v>土地使用年限（年）</v>
      </c>
      <c r="AA10" s="772">
        <f t="shared" si="3"/>
        <v>0.98039215686274506</v>
      </c>
      <c r="AB10" s="772">
        <f t="shared" si="4"/>
        <v>0.98039215686274506</v>
      </c>
      <c r="AC10" s="772">
        <f t="shared" si="5"/>
        <v>0.98039215686274506</v>
      </c>
    </row>
    <row r="11" spans="1:30" ht="15">
      <c r="A11" s="427"/>
      <c r="B11" s="421" t="s">
        <v>2550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60"/>
      <c r="Q11" s="1797" t="str">
        <f t="shared" si="6"/>
        <v>容积率</v>
      </c>
      <c r="R11" s="769" t="s">
        <v>17</v>
      </c>
      <c r="S11" s="770" t="e">
        <f t="shared" si="0"/>
        <v>#N/A</v>
      </c>
      <c r="T11" s="769" t="s">
        <v>17</v>
      </c>
      <c r="U11" s="770" t="e">
        <f t="shared" si="1"/>
        <v>#N/A</v>
      </c>
      <c r="V11" s="769" t="s">
        <v>17</v>
      </c>
      <c r="W11" s="770" t="e">
        <f t="shared" si="2"/>
        <v>#N/A</v>
      </c>
      <c r="X11" s="771"/>
      <c r="Y11" s="3015"/>
      <c r="Z11" s="55" t="str">
        <f t="shared" si="7"/>
        <v>容积率</v>
      </c>
      <c r="AA11" s="772" t="e">
        <f t="shared" si="3"/>
        <v>#N/A</v>
      </c>
      <c r="AB11" s="772" t="e">
        <f t="shared" si="4"/>
        <v>#N/A</v>
      </c>
      <c r="AC11" s="772" t="e">
        <f t="shared" si="5"/>
        <v>#N/A</v>
      </c>
    </row>
    <row r="12" spans="1:30" s="116" customFormat="1" ht="15">
      <c r="A12" s="430"/>
      <c r="B12" s="2601" t="s">
        <v>2739</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60"/>
      <c r="Q12" s="1797" t="str">
        <f t="shared" si="6"/>
        <v>配建</v>
      </c>
      <c r="R12" s="769" t="s">
        <v>17</v>
      </c>
      <c r="S12" s="770">
        <f t="shared" si="0"/>
        <v>100</v>
      </c>
      <c r="T12" s="769" t="s">
        <v>17</v>
      </c>
      <c r="U12" s="770">
        <f t="shared" si="1"/>
        <v>100</v>
      </c>
      <c r="V12" s="769" t="s">
        <v>17</v>
      </c>
      <c r="W12" s="770">
        <f t="shared" si="2"/>
        <v>100</v>
      </c>
      <c r="X12" s="771"/>
      <c r="Y12" s="3015"/>
      <c r="Z12" s="55"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60"/>
      <c r="Q13" s="1797">
        <f t="shared" si="6"/>
        <v>111</v>
      </c>
      <c r="R13" s="769" t="s">
        <v>17</v>
      </c>
      <c r="S13" s="770">
        <f t="shared" si="0"/>
        <v>100</v>
      </c>
      <c r="T13" s="769" t="s">
        <v>17</v>
      </c>
      <c r="U13" s="770">
        <f t="shared" si="1"/>
        <v>100</v>
      </c>
      <c r="V13" s="769" t="s">
        <v>17</v>
      </c>
      <c r="W13" s="770">
        <f t="shared" si="2"/>
        <v>100</v>
      </c>
      <c r="X13" s="771"/>
      <c r="Y13" s="3015"/>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60"/>
      <c r="Q14" s="1797">
        <f t="shared" si="6"/>
        <v>111</v>
      </c>
      <c r="R14" s="769" t="s">
        <v>17</v>
      </c>
      <c r="S14" s="770">
        <f t="shared" si="0"/>
        <v>100</v>
      </c>
      <c r="T14" s="769" t="s">
        <v>17</v>
      </c>
      <c r="U14" s="770">
        <f t="shared" si="1"/>
        <v>100</v>
      </c>
      <c r="V14" s="769" t="s">
        <v>17</v>
      </c>
      <c r="W14" s="770">
        <f t="shared" si="2"/>
        <v>100</v>
      </c>
      <c r="X14" s="771"/>
      <c r="Y14" s="3015"/>
      <c r="Z14" s="55">
        <f t="shared" si="7"/>
        <v>111</v>
      </c>
      <c r="AA14" s="772">
        <f>D14/F14</f>
        <v>1</v>
      </c>
      <c r="AB14" s="772">
        <f>D14/H14</f>
        <v>1</v>
      </c>
      <c r="AC14" s="772">
        <f>D14/J14</f>
        <v>1</v>
      </c>
    </row>
    <row r="15" spans="1:30" ht="99.75">
      <c r="A15" s="439" t="s">
        <v>2551</v>
      </c>
      <c r="B15" s="69" t="s">
        <v>2078</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79" t="s">
        <v>2552</v>
      </c>
      <c r="Q15" s="1812" t="str">
        <f t="shared" si="6"/>
        <v>居住社区成熟度</v>
      </c>
      <c r="R15" s="773" t="s">
        <v>17</v>
      </c>
      <c r="S15" s="774">
        <f t="shared" si="0"/>
        <v>100</v>
      </c>
      <c r="T15" s="773" t="s">
        <v>17</v>
      </c>
      <c r="U15" s="774">
        <f t="shared" si="1"/>
        <v>100</v>
      </c>
      <c r="V15" s="773" t="s">
        <v>17</v>
      </c>
      <c r="W15" s="774">
        <f t="shared" si="2"/>
        <v>100</v>
      </c>
      <c r="X15" s="1815"/>
      <c r="Y15" s="3179" t="s">
        <v>2552</v>
      </c>
      <c r="Z15" s="1816" t="str">
        <f t="shared" si="7"/>
        <v>居住社区成熟度</v>
      </c>
      <c r="AA15" s="1813">
        <f t="shared" si="3"/>
        <v>1</v>
      </c>
      <c r="AB15" s="1813">
        <f t="shared" si="4"/>
        <v>1</v>
      </c>
      <c r="AC15" s="1813">
        <f t="shared" si="5"/>
        <v>1</v>
      </c>
    </row>
    <row r="16" spans="1:30" ht="15">
      <c r="A16" s="427"/>
      <c r="B16" s="445"/>
      <c r="C16" s="446"/>
      <c r="D16" s="447"/>
      <c r="E16" s="2606"/>
      <c r="F16" s="447"/>
      <c r="G16" s="2606"/>
      <c r="H16" s="449"/>
      <c r="I16" s="2605"/>
      <c r="J16" s="447"/>
      <c r="K16" s="671"/>
      <c r="L16" s="1142"/>
      <c r="M16" s="1133"/>
      <c r="N16" s="1133"/>
      <c r="O16" s="1141"/>
      <c r="P16" s="3180"/>
      <c r="Q16" s="1812"/>
      <c r="R16" s="773"/>
      <c r="S16" s="774"/>
      <c r="T16" s="773"/>
      <c r="U16" s="774"/>
      <c r="V16" s="773"/>
      <c r="W16" s="774"/>
      <c r="X16" s="1815"/>
      <c r="Y16" s="3180"/>
      <c r="Z16" s="1816"/>
      <c r="AA16" s="1813">
        <v>1</v>
      </c>
      <c r="AB16" s="1813">
        <v>1</v>
      </c>
      <c r="AC16" s="1813">
        <v>1</v>
      </c>
    </row>
    <row r="17" spans="1:29" ht="71.25">
      <c r="A17" s="427"/>
      <c r="B17" s="450" t="s">
        <v>2645</v>
      </c>
      <c r="C17" s="266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80"/>
      <c r="Q17" s="1812" t="str">
        <f>B17</f>
        <v>商业繁华度</v>
      </c>
      <c r="R17" s="773" t="s">
        <v>17</v>
      </c>
      <c r="S17" s="774">
        <f>F17</f>
        <v>100</v>
      </c>
      <c r="T17" s="773" t="s">
        <v>17</v>
      </c>
      <c r="U17" s="774">
        <f>H17</f>
        <v>100</v>
      </c>
      <c r="V17" s="773" t="s">
        <v>17</v>
      </c>
      <c r="W17" s="774">
        <f>J17</f>
        <v>100</v>
      </c>
      <c r="X17" s="1815"/>
      <c r="Y17" s="3180"/>
      <c r="Z17" s="1816" t="str">
        <f>Q17</f>
        <v>商业繁华度</v>
      </c>
      <c r="AA17" s="1813">
        <f t="shared" si="3"/>
        <v>1</v>
      </c>
      <c r="AB17" s="1813">
        <f t="shared" si="4"/>
        <v>1</v>
      </c>
      <c r="AC17" s="1813">
        <f t="shared" si="5"/>
        <v>1</v>
      </c>
    </row>
    <row r="18" spans="1:29" ht="15">
      <c r="A18" s="427"/>
      <c r="B18" s="455"/>
      <c r="C18" s="2609"/>
      <c r="D18" s="449"/>
      <c r="E18" s="2611"/>
      <c r="F18" s="449"/>
      <c r="G18" s="2611"/>
      <c r="H18" s="447"/>
      <c r="I18" s="2610"/>
      <c r="J18" s="447"/>
      <c r="K18" s="671"/>
      <c r="L18" s="1142"/>
      <c r="M18" s="1133"/>
      <c r="N18" s="1133"/>
      <c r="O18" s="1141"/>
      <c r="P18" s="3180"/>
      <c r="Q18" s="1812"/>
      <c r="R18" s="773"/>
      <c r="S18" s="774"/>
      <c r="T18" s="773"/>
      <c r="U18" s="774"/>
      <c r="V18" s="773"/>
      <c r="W18" s="774"/>
      <c r="X18" s="1815"/>
      <c r="Y18" s="3180"/>
      <c r="Z18" s="1816"/>
      <c r="AA18" s="1813">
        <v>1</v>
      </c>
      <c r="AB18" s="1813">
        <v>1</v>
      </c>
      <c r="AC18" s="1813">
        <v>1</v>
      </c>
    </row>
    <row r="19" spans="1:29" ht="71.25">
      <c r="A19" s="427"/>
      <c r="B19" s="450" t="s">
        <v>2679</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80"/>
      <c r="Q19" s="1812" t="str">
        <f>B19</f>
        <v>办公集聚程度</v>
      </c>
      <c r="R19" s="773" t="s">
        <v>17</v>
      </c>
      <c r="S19" s="774">
        <f>F19</f>
        <v>100</v>
      </c>
      <c r="T19" s="773" t="s">
        <v>17</v>
      </c>
      <c r="U19" s="774">
        <f>H19</f>
        <v>100</v>
      </c>
      <c r="V19" s="773" t="s">
        <v>17</v>
      </c>
      <c r="W19" s="774">
        <f>J19</f>
        <v>100</v>
      </c>
      <c r="X19" s="1815"/>
      <c r="Y19" s="3180"/>
      <c r="Z19" s="1816" t="str">
        <f>Q19</f>
        <v>办公集聚程度</v>
      </c>
      <c r="AA19" s="1813">
        <f t="shared" si="3"/>
        <v>1</v>
      </c>
      <c r="AB19" s="1813">
        <f t="shared" si="4"/>
        <v>1</v>
      </c>
      <c r="AC19" s="1813">
        <f t="shared" si="5"/>
        <v>1</v>
      </c>
    </row>
    <row r="20" spans="1:29" ht="15">
      <c r="A20" s="427"/>
      <c r="B20" s="455"/>
      <c r="C20" s="446"/>
      <c r="D20" s="447"/>
      <c r="E20" s="2606"/>
      <c r="F20" s="447"/>
      <c r="G20" s="2606"/>
      <c r="H20" s="447"/>
      <c r="I20" s="2605"/>
      <c r="J20" s="447"/>
      <c r="K20" s="671"/>
      <c r="L20" s="1142"/>
      <c r="M20" s="1133"/>
      <c r="N20" s="1133"/>
      <c r="O20" s="1141"/>
      <c r="P20" s="3180"/>
      <c r="Q20" s="1812"/>
      <c r="R20" s="773"/>
      <c r="S20" s="774"/>
      <c r="T20" s="773"/>
      <c r="U20" s="774"/>
      <c r="V20" s="773"/>
      <c r="W20" s="774"/>
      <c r="X20" s="1815"/>
      <c r="Y20" s="3180"/>
      <c r="Z20" s="1816"/>
      <c r="AA20" s="1813">
        <v>1</v>
      </c>
      <c r="AB20" s="1813">
        <v>1</v>
      </c>
      <c r="AC20" s="1813">
        <v>1</v>
      </c>
    </row>
    <row r="21" spans="1:29" ht="85.5">
      <c r="A21" s="427"/>
      <c r="B21" s="450" t="s">
        <v>2701</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80"/>
      <c r="Q21" s="1812" t="str">
        <f>B21</f>
        <v>交通便捷度</v>
      </c>
      <c r="R21" s="773" t="s">
        <v>17</v>
      </c>
      <c r="S21" s="774">
        <f>F21</f>
        <v>100</v>
      </c>
      <c r="T21" s="773" t="s">
        <v>17</v>
      </c>
      <c r="U21" s="774">
        <f>H21</f>
        <v>100</v>
      </c>
      <c r="V21" s="773" t="s">
        <v>17</v>
      </c>
      <c r="W21" s="774">
        <f>J21</f>
        <v>100</v>
      </c>
      <c r="X21" s="1815"/>
      <c r="Y21" s="3180"/>
      <c r="Z21" s="1816" t="str">
        <f>Q21</f>
        <v>交通便捷度</v>
      </c>
      <c r="AA21" s="1813">
        <f t="shared" si="3"/>
        <v>1</v>
      </c>
      <c r="AB21" s="1813">
        <f t="shared" si="4"/>
        <v>1</v>
      </c>
      <c r="AC21" s="1813">
        <f t="shared" si="5"/>
        <v>1</v>
      </c>
    </row>
    <row r="22" spans="1:29" ht="15">
      <c r="A22" s="427"/>
      <c r="B22" s="1386"/>
      <c r="C22" s="446"/>
      <c r="D22" s="449"/>
      <c r="E22" s="2606"/>
      <c r="F22" s="447"/>
      <c r="G22" s="2606"/>
      <c r="H22" s="447"/>
      <c r="I22" s="2605"/>
      <c r="J22" s="447"/>
      <c r="K22" s="671"/>
      <c r="L22" s="1142"/>
      <c r="M22" s="1133"/>
      <c r="N22" s="1133"/>
      <c r="O22" s="1141"/>
      <c r="P22" s="3180"/>
      <c r="Q22" s="1812"/>
      <c r="R22" s="773"/>
      <c r="S22" s="774"/>
      <c r="T22" s="773"/>
      <c r="U22" s="774"/>
      <c r="V22" s="773"/>
      <c r="W22" s="774"/>
      <c r="X22" s="1815"/>
      <c r="Y22" s="3180"/>
      <c r="Z22" s="1816"/>
      <c r="AA22" s="1813">
        <v>1</v>
      </c>
      <c r="AB22" s="1813">
        <v>1</v>
      </c>
      <c r="AC22" s="1813">
        <v>1</v>
      </c>
    </row>
    <row r="23" spans="1:29" ht="15">
      <c r="A23" s="403"/>
      <c r="B23" s="450" t="s">
        <v>2740</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80"/>
      <c r="Q23" s="1812" t="str">
        <f t="shared" ref="Q23:Q37" si="8">B23</f>
        <v>区域土地利用方向</v>
      </c>
      <c r="R23" s="773" t="s">
        <v>17</v>
      </c>
      <c r="S23" s="774">
        <f>F23</f>
        <v>100</v>
      </c>
      <c r="T23" s="773" t="s">
        <v>17</v>
      </c>
      <c r="U23" s="774">
        <f>H23</f>
        <v>100</v>
      </c>
      <c r="V23" s="773" t="s">
        <v>17</v>
      </c>
      <c r="W23" s="774">
        <f>J23</f>
        <v>100</v>
      </c>
      <c r="X23" s="1815"/>
      <c r="Y23" s="3180"/>
      <c r="Z23" s="1816" t="str">
        <f>Q23</f>
        <v>区域土地利用方向</v>
      </c>
      <c r="AA23" s="1813">
        <f t="shared" si="3"/>
        <v>1</v>
      </c>
      <c r="AB23" s="1813">
        <f t="shared" si="4"/>
        <v>1</v>
      </c>
      <c r="AC23" s="1813">
        <f t="shared" si="5"/>
        <v>1</v>
      </c>
    </row>
    <row r="24" spans="1:29" ht="15">
      <c r="A24" s="403"/>
      <c r="B24" s="455"/>
      <c r="C24" s="615"/>
      <c r="D24" s="447"/>
      <c r="E24" s="2606"/>
      <c r="F24" s="447"/>
      <c r="G24" s="2605"/>
      <c r="H24" s="447"/>
      <c r="I24" s="2605"/>
      <c r="J24" s="447"/>
      <c r="K24" s="811"/>
      <c r="L24" s="1142"/>
      <c r="M24" s="1133"/>
      <c r="N24" s="1133"/>
      <c r="O24" s="1141"/>
      <c r="P24" s="3180"/>
      <c r="Q24" s="1812"/>
      <c r="R24" s="773"/>
      <c r="S24" s="774"/>
      <c r="T24" s="773"/>
      <c r="U24" s="774"/>
      <c r="V24" s="773"/>
      <c r="W24" s="774"/>
      <c r="X24" s="1815"/>
      <c r="Y24" s="3180"/>
      <c r="Z24" s="1816"/>
      <c r="AA24" s="1813"/>
      <c r="AB24" s="1813"/>
      <c r="AC24" s="1813"/>
    </row>
    <row r="25" spans="1:29" ht="57">
      <c r="A25" s="403"/>
      <c r="B25" s="1386" t="s">
        <v>2741</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80"/>
      <c r="Q25" s="1812" t="str">
        <f t="shared" si="8"/>
        <v>自然及人文环境状况</v>
      </c>
      <c r="R25" s="773" t="s">
        <v>17</v>
      </c>
      <c r="S25" s="774">
        <f>F25</f>
        <v>100</v>
      </c>
      <c r="T25" s="773" t="s">
        <v>17</v>
      </c>
      <c r="U25" s="774">
        <f>H25</f>
        <v>100</v>
      </c>
      <c r="V25" s="773" t="s">
        <v>17</v>
      </c>
      <c r="W25" s="774">
        <f>J25</f>
        <v>100</v>
      </c>
      <c r="X25" s="1815"/>
      <c r="Y25" s="3180"/>
      <c r="Z25" s="1816" t="str">
        <f>Q25</f>
        <v>自然及人文环境状况</v>
      </c>
      <c r="AA25" s="1813">
        <f t="shared" si="3"/>
        <v>1</v>
      </c>
      <c r="AB25" s="1813">
        <f t="shared" si="4"/>
        <v>1</v>
      </c>
      <c r="AC25" s="1813">
        <f t="shared" si="5"/>
        <v>1</v>
      </c>
    </row>
    <row r="26" spans="1:29" ht="15">
      <c r="A26" s="403"/>
      <c r="B26" s="455"/>
      <c r="C26" s="446"/>
      <c r="D26" s="447"/>
      <c r="E26" s="2612"/>
      <c r="F26" s="447"/>
      <c r="G26" s="2612"/>
      <c r="H26" s="447"/>
      <c r="I26" s="446"/>
      <c r="J26" s="447"/>
      <c r="K26" s="671"/>
      <c r="L26" s="1142"/>
      <c r="M26" s="1133"/>
      <c r="N26" s="1133"/>
      <c r="O26" s="1141"/>
      <c r="P26" s="3180"/>
      <c r="Q26" s="1812"/>
      <c r="R26" s="773"/>
      <c r="S26" s="774"/>
      <c r="T26" s="773"/>
      <c r="U26" s="774"/>
      <c r="V26" s="773"/>
      <c r="W26" s="774"/>
      <c r="X26" s="1815"/>
      <c r="Y26" s="3180"/>
      <c r="Z26" s="1816"/>
      <c r="AA26" s="1813">
        <v>1</v>
      </c>
      <c r="AB26" s="1813">
        <v>1</v>
      </c>
      <c r="AC26" s="1813">
        <v>1</v>
      </c>
    </row>
    <row r="27" spans="1:29" s="116" customFormat="1" ht="42.75">
      <c r="A27" s="648"/>
      <c r="B27" s="1386" t="s">
        <v>2646</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80"/>
      <c r="Q27" s="1797" t="str">
        <f t="shared" si="8"/>
        <v>公共配套设施</v>
      </c>
      <c r="R27" s="769" t="s">
        <v>17</v>
      </c>
      <c r="S27" s="770">
        <f>F27</f>
        <v>100</v>
      </c>
      <c r="T27" s="769" t="s">
        <v>17</v>
      </c>
      <c r="U27" s="770">
        <f>H27</f>
        <v>100</v>
      </c>
      <c r="V27" s="769" t="s">
        <v>17</v>
      </c>
      <c r="W27" s="770">
        <f>J27</f>
        <v>100</v>
      </c>
      <c r="X27" s="771"/>
      <c r="Y27" s="3180"/>
      <c r="Z27" s="55" t="str">
        <f>Q27</f>
        <v>公共配套设施</v>
      </c>
      <c r="AA27" s="1813">
        <f>D27/F27</f>
        <v>1</v>
      </c>
      <c r="AB27" s="1813">
        <f>D27/H27</f>
        <v>1</v>
      </c>
      <c r="AC27" s="1813">
        <f>D27/J27</f>
        <v>1</v>
      </c>
    </row>
    <row r="28" spans="1:29" s="116" customFormat="1" ht="15">
      <c r="A28" s="648"/>
      <c r="B28" s="455"/>
      <c r="C28" s="2701"/>
      <c r="D28" s="447"/>
      <c r="E28" s="2612"/>
      <c r="F28" s="447"/>
      <c r="G28" s="2612"/>
      <c r="H28" s="447"/>
      <c r="I28" s="446"/>
      <c r="J28" s="447"/>
      <c r="K28" s="671"/>
      <c r="L28" s="1134"/>
      <c r="M28" s="1135"/>
      <c r="N28" s="1135"/>
      <c r="O28" s="1136"/>
      <c r="P28" s="3180"/>
      <c r="Q28" s="1797"/>
      <c r="R28" s="769"/>
      <c r="S28" s="770"/>
      <c r="T28" s="769"/>
      <c r="U28" s="770"/>
      <c r="V28" s="769"/>
      <c r="W28" s="770"/>
      <c r="X28" s="771"/>
      <c r="Y28" s="3180"/>
      <c r="Z28" s="55"/>
      <c r="AA28" s="1813">
        <v>1</v>
      </c>
      <c r="AB28" s="1813">
        <v>1</v>
      </c>
      <c r="AC28" s="1813">
        <v>1</v>
      </c>
    </row>
    <row r="29" spans="1:29" s="116" customFormat="1" ht="28.5">
      <c r="A29" s="648"/>
      <c r="B29" s="1386" t="s">
        <v>2647</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80"/>
      <c r="Q29" s="1797" t="str">
        <f t="shared" ref="Q29" si="9">B29</f>
        <v>基础设施水平</v>
      </c>
      <c r="R29" s="769" t="s">
        <v>17</v>
      </c>
      <c r="S29" s="770">
        <f>F29</f>
        <v>100</v>
      </c>
      <c r="T29" s="769" t="s">
        <v>17</v>
      </c>
      <c r="U29" s="770">
        <f>H29</f>
        <v>100</v>
      </c>
      <c r="V29" s="769" t="s">
        <v>17</v>
      </c>
      <c r="W29" s="770">
        <f>J29</f>
        <v>100</v>
      </c>
      <c r="X29" s="771"/>
      <c r="Y29" s="3180"/>
      <c r="Z29" s="55" t="str">
        <f>Q29</f>
        <v>基础设施水平</v>
      </c>
      <c r="AA29" s="1813">
        <f>D29/F29</f>
        <v>1</v>
      </c>
      <c r="AB29" s="1813">
        <f>D29/H29</f>
        <v>1</v>
      </c>
      <c r="AC29" s="1813">
        <f>D29/J29</f>
        <v>1</v>
      </c>
    </row>
    <row r="30" spans="1:29" s="116" customFormat="1" ht="15">
      <c r="A30" s="648"/>
      <c r="B30" s="455"/>
      <c r="C30" s="2701"/>
      <c r="D30" s="447"/>
      <c r="E30" s="2702"/>
      <c r="F30" s="447"/>
      <c r="G30" s="2702"/>
      <c r="H30" s="447"/>
      <c r="I30" s="2702"/>
      <c r="J30" s="447"/>
      <c r="K30" s="671"/>
      <c r="L30" s="1134"/>
      <c r="M30" s="1135"/>
      <c r="N30" s="1135"/>
      <c r="O30" s="1136"/>
      <c r="P30" s="3180"/>
      <c r="Q30" s="1797"/>
      <c r="R30" s="769"/>
      <c r="S30" s="770"/>
      <c r="T30" s="769"/>
      <c r="U30" s="770"/>
      <c r="V30" s="769"/>
      <c r="W30" s="770"/>
      <c r="X30" s="771"/>
      <c r="Y30" s="3180"/>
      <c r="Z30" s="55"/>
      <c r="AA30" s="1813">
        <v>1</v>
      </c>
      <c r="AB30" s="1813">
        <v>1</v>
      </c>
      <c r="AC30" s="1813">
        <v>1</v>
      </c>
    </row>
    <row r="31" spans="1:29" ht="15">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80"/>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80"/>
      <c r="Z31" s="1816" t="str">
        <f t="shared" ref="Z31:Z45" si="13">Q31</f>
        <v>临街状况</v>
      </c>
      <c r="AA31" s="1813">
        <f t="shared" si="3"/>
        <v>1</v>
      </c>
      <c r="AB31" s="1813">
        <f t="shared" si="4"/>
        <v>1</v>
      </c>
      <c r="AC31" s="1813">
        <f t="shared" si="5"/>
        <v>1</v>
      </c>
    </row>
    <row r="32" spans="1:29" ht="27">
      <c r="A32" s="427"/>
      <c r="B32" s="1386" t="s">
        <v>2683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80"/>
      <c r="Q32" s="1812" t="str">
        <f t="shared" si="8"/>
        <v>毗邻道路的类型与等级</v>
      </c>
      <c r="R32" s="773" t="s">
        <v>17</v>
      </c>
      <c r="S32" s="774">
        <f t="shared" si="10"/>
        <v>100</v>
      </c>
      <c r="T32" s="773" t="s">
        <v>17</v>
      </c>
      <c r="U32" s="774">
        <f t="shared" si="11"/>
        <v>100</v>
      </c>
      <c r="V32" s="773" t="s">
        <v>17</v>
      </c>
      <c r="W32" s="774">
        <f t="shared" si="12"/>
        <v>100</v>
      </c>
      <c r="X32" s="1815"/>
      <c r="Y32" s="3180"/>
      <c r="Z32" s="1816" t="str">
        <f t="shared" si="13"/>
        <v>毗邻道路的类型与等级</v>
      </c>
      <c r="AA32" s="1813">
        <f t="shared" si="3"/>
        <v>1</v>
      </c>
      <c r="AB32" s="1813">
        <f t="shared" si="4"/>
        <v>1</v>
      </c>
      <c r="AC32" s="1813">
        <f t="shared" si="5"/>
        <v>1</v>
      </c>
    </row>
    <row r="33" spans="1:29" ht="15">
      <c r="A33" s="427"/>
      <c r="B33" s="455"/>
      <c r="C33" s="446"/>
      <c r="D33" s="447"/>
      <c r="E33" s="2612"/>
      <c r="F33" s="447"/>
      <c r="G33" s="2612"/>
      <c r="H33" s="447"/>
      <c r="I33" s="446"/>
      <c r="J33" s="447"/>
      <c r="K33" s="612"/>
      <c r="L33" s="1142"/>
      <c r="M33" s="1133"/>
      <c r="N33" s="1133"/>
      <c r="O33" s="1141"/>
      <c r="P33" s="3180"/>
      <c r="Q33" s="1812"/>
      <c r="R33" s="773"/>
      <c r="S33" s="774"/>
      <c r="T33" s="773"/>
      <c r="U33" s="774"/>
      <c r="V33" s="773"/>
      <c r="W33" s="774"/>
      <c r="X33" s="1815"/>
      <c r="Y33" s="3180"/>
      <c r="Z33" s="1816"/>
      <c r="AA33" s="1813">
        <v>1</v>
      </c>
      <c r="AB33" s="1813">
        <v>1</v>
      </c>
      <c r="AC33" s="1813">
        <v>1</v>
      </c>
    </row>
    <row r="34" spans="1:29" ht="15">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0"/>
      <c r="Q34" s="1812" t="str">
        <f t="shared" si="8"/>
        <v>土地级别</v>
      </c>
      <c r="R34" s="773" t="s">
        <v>17</v>
      </c>
      <c r="S34" s="774">
        <f t="shared" si="10"/>
        <v>100</v>
      </c>
      <c r="T34" s="773" t="s">
        <v>17</v>
      </c>
      <c r="U34" s="774">
        <f t="shared" si="11"/>
        <v>100</v>
      </c>
      <c r="V34" s="773" t="s">
        <v>17</v>
      </c>
      <c r="W34" s="774">
        <f t="shared" si="12"/>
        <v>100</v>
      </c>
      <c r="X34" s="1815"/>
      <c r="Y34" s="3180"/>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0"/>
      <c r="Q35" s="1812">
        <f t="shared" si="8"/>
        <v>111</v>
      </c>
      <c r="R35" s="773" t="s">
        <v>17</v>
      </c>
      <c r="S35" s="774">
        <f t="shared" si="10"/>
        <v>100</v>
      </c>
      <c r="T35" s="773" t="s">
        <v>17</v>
      </c>
      <c r="U35" s="774">
        <f t="shared" si="11"/>
        <v>100</v>
      </c>
      <c r="V35" s="773" t="s">
        <v>17</v>
      </c>
      <c r="W35" s="774">
        <f t="shared" si="12"/>
        <v>100</v>
      </c>
      <c r="X35" s="1815"/>
      <c r="Y35" s="3180"/>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96" t="s">
        <v>2557</v>
      </c>
      <c r="Q36" s="1812">
        <f t="shared" si="8"/>
        <v>111</v>
      </c>
      <c r="R36" s="773" t="s">
        <v>17</v>
      </c>
      <c r="S36" s="774">
        <f t="shared" si="10"/>
        <v>100</v>
      </c>
      <c r="T36" s="773" t="s">
        <v>17</v>
      </c>
      <c r="U36" s="774">
        <f t="shared" si="11"/>
        <v>100</v>
      </c>
      <c r="V36" s="773" t="s">
        <v>17</v>
      </c>
      <c r="W36" s="774">
        <f t="shared" si="12"/>
        <v>100</v>
      </c>
      <c r="X36" s="1815"/>
      <c r="Y36" s="3181" t="s">
        <v>2557</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1"/>
      <c r="Q37" s="1812">
        <f t="shared" si="8"/>
        <v>111</v>
      </c>
      <c r="R37" s="776" t="s">
        <v>17</v>
      </c>
      <c r="S37" s="777">
        <f t="shared" si="10"/>
        <v>100</v>
      </c>
      <c r="T37" s="776" t="s">
        <v>17</v>
      </c>
      <c r="U37" s="777">
        <f t="shared" si="11"/>
        <v>100</v>
      </c>
      <c r="V37" s="776" t="s">
        <v>17</v>
      </c>
      <c r="W37" s="777">
        <f t="shared" si="12"/>
        <v>100</v>
      </c>
      <c r="X37" s="778"/>
      <c r="Y37" s="3181"/>
      <c r="Z37" s="779">
        <f t="shared" si="13"/>
        <v>111</v>
      </c>
      <c r="AA37" s="1813">
        <f t="shared" si="3"/>
        <v>1</v>
      </c>
      <c r="AB37" s="1813">
        <f t="shared" si="4"/>
        <v>1</v>
      </c>
      <c r="AC37" s="1813">
        <f t="shared" si="5"/>
        <v>1</v>
      </c>
    </row>
    <row r="38" spans="1:29" ht="15">
      <c r="A38" s="471" t="s">
        <v>2555</v>
      </c>
      <c r="B38" s="455" t="s">
        <v>2743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81"/>
      <c r="Q38" s="1812" t="str">
        <f>B38</f>
        <v>宗地面积</v>
      </c>
      <c r="R38" s="773" t="s">
        <v>17</v>
      </c>
      <c r="S38" s="774" t="e">
        <f t="shared" si="10"/>
        <v>#N/A</v>
      </c>
      <c r="T38" s="773" t="s">
        <v>17</v>
      </c>
      <c r="U38" s="774" t="e">
        <f t="shared" si="11"/>
        <v>#N/A</v>
      </c>
      <c r="V38" s="773" t="s">
        <v>17</v>
      </c>
      <c r="W38" s="774" t="e">
        <f t="shared" si="12"/>
        <v>#N/A</v>
      </c>
      <c r="X38" s="1815"/>
      <c r="Y38" s="3181"/>
      <c r="Z38" s="1816" t="str">
        <f t="shared" si="13"/>
        <v>宗地面积</v>
      </c>
      <c r="AA38" s="1813" t="e">
        <f t="shared" si="3"/>
        <v>#N/A</v>
      </c>
      <c r="AB38" s="1813" t="e">
        <f t="shared" si="4"/>
        <v>#N/A</v>
      </c>
      <c r="AC38" s="1813" t="e">
        <f t="shared" si="5"/>
        <v>#N/A</v>
      </c>
    </row>
    <row r="39" spans="1:29" ht="15">
      <c r="A39" s="471"/>
      <c r="B39" s="421" t="s">
        <v>2744</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42"/>
      <c r="M39" s="1133"/>
      <c r="N39" s="1133"/>
      <c r="O39" s="1141"/>
      <c r="P39" s="3181"/>
      <c r="Q39" s="1812" t="str">
        <f t="shared" ref="Q39:Q45" si="14">B39</f>
        <v>宗地形状</v>
      </c>
      <c r="R39" s="773" t="s">
        <v>17</v>
      </c>
      <c r="S39" s="774">
        <f t="shared" si="10"/>
        <v>100</v>
      </c>
      <c r="T39" s="773" t="s">
        <v>17</v>
      </c>
      <c r="U39" s="774">
        <f t="shared" si="11"/>
        <v>100</v>
      </c>
      <c r="V39" s="773" t="s">
        <v>17</v>
      </c>
      <c r="W39" s="774">
        <f t="shared" si="12"/>
        <v>100</v>
      </c>
      <c r="X39" s="1815"/>
      <c r="Y39" s="3181"/>
      <c r="Z39" s="1816" t="str">
        <f t="shared" si="13"/>
        <v>宗地形状</v>
      </c>
      <c r="AA39" s="1813">
        <f t="shared" si="3"/>
        <v>1</v>
      </c>
      <c r="AB39" s="1813">
        <f t="shared" si="4"/>
        <v>1</v>
      </c>
      <c r="AC39" s="1813">
        <f t="shared" si="5"/>
        <v>1</v>
      </c>
    </row>
    <row r="40" spans="1:29" ht="15">
      <c r="A40" s="471"/>
      <c r="B40" s="421" t="s">
        <v>2745</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42"/>
      <c r="M40" s="1133"/>
      <c r="N40" s="1133"/>
      <c r="O40" s="1141"/>
      <c r="P40" s="3181"/>
      <c r="Q40" s="1812" t="str">
        <f t="shared" si="14"/>
        <v>临街宽度及深度</v>
      </c>
      <c r="R40" s="773" t="s">
        <v>17</v>
      </c>
      <c r="S40" s="774">
        <f t="shared" si="10"/>
        <v>100</v>
      </c>
      <c r="T40" s="773" t="s">
        <v>17</v>
      </c>
      <c r="U40" s="774">
        <f t="shared" si="11"/>
        <v>100</v>
      </c>
      <c r="V40" s="773" t="s">
        <v>17</v>
      </c>
      <c r="W40" s="774">
        <f t="shared" si="12"/>
        <v>100</v>
      </c>
      <c r="X40" s="1815"/>
      <c r="Y40" s="3181"/>
      <c r="Z40" s="1816" t="str">
        <f t="shared" si="13"/>
        <v>临街宽度及深度</v>
      </c>
      <c r="AA40" s="1813">
        <f t="shared" si="3"/>
        <v>1</v>
      </c>
      <c r="AB40" s="1813">
        <f t="shared" si="4"/>
        <v>1</v>
      </c>
      <c r="AC40" s="1813">
        <f t="shared" si="5"/>
        <v>1</v>
      </c>
    </row>
    <row r="41" spans="1:29" s="116" customFormat="1" ht="15">
      <c r="A41" s="472"/>
      <c r="B41" s="421" t="s">
        <v>2746</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4"/>
      <c r="M41" s="1135"/>
      <c r="N41" s="1135"/>
      <c r="O41" s="1136"/>
      <c r="P41" s="3181"/>
      <c r="Q41" s="1812" t="str">
        <f t="shared" si="14"/>
        <v>宗地开发程度</v>
      </c>
      <c r="R41" s="769" t="s">
        <v>17</v>
      </c>
      <c r="S41" s="770">
        <f t="shared" si="10"/>
        <v>100</v>
      </c>
      <c r="T41" s="769" t="s">
        <v>17</v>
      </c>
      <c r="U41" s="770">
        <f t="shared" si="11"/>
        <v>100</v>
      </c>
      <c r="V41" s="769" t="s">
        <v>17</v>
      </c>
      <c r="W41" s="770">
        <f t="shared" si="12"/>
        <v>100</v>
      </c>
      <c r="X41" s="771"/>
      <c r="Y41" s="3181"/>
      <c r="Z41" s="55" t="str">
        <f t="shared" si="13"/>
        <v>宗地开发程度</v>
      </c>
      <c r="AA41" s="772">
        <f t="shared" si="3"/>
        <v>1</v>
      </c>
      <c r="AB41" s="772">
        <f t="shared" si="4"/>
        <v>1</v>
      </c>
      <c r="AC41" s="772">
        <f t="shared" si="5"/>
        <v>1</v>
      </c>
    </row>
    <row r="42" spans="1:29" ht="15">
      <c r="A42" s="471"/>
      <c r="B42" s="421" t="s">
        <v>2747</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42"/>
      <c r="M42" s="1133"/>
      <c r="N42" s="1133"/>
      <c r="O42" s="1141"/>
      <c r="P42" s="3181" t="s">
        <v>2557</v>
      </c>
      <c r="Q42" s="1812" t="str">
        <f t="shared" si="14"/>
        <v>工程地质条件</v>
      </c>
      <c r="R42" s="773" t="s">
        <v>17</v>
      </c>
      <c r="S42" s="774">
        <f t="shared" si="10"/>
        <v>100</v>
      </c>
      <c r="T42" s="773" t="s">
        <v>17</v>
      </c>
      <c r="U42" s="774">
        <f t="shared" si="11"/>
        <v>100</v>
      </c>
      <c r="V42" s="773" t="s">
        <v>17</v>
      </c>
      <c r="W42" s="774">
        <f t="shared" si="12"/>
        <v>100</v>
      </c>
      <c r="X42" s="1815"/>
      <c r="Y42" s="3181" t="s">
        <v>2557</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1"/>
      <c r="Q43" s="1812">
        <f t="shared" si="14"/>
        <v>111</v>
      </c>
      <c r="R43" s="773" t="s">
        <v>17</v>
      </c>
      <c r="S43" s="774">
        <f t="shared" si="10"/>
        <v>100</v>
      </c>
      <c r="T43" s="773" t="s">
        <v>17</v>
      </c>
      <c r="U43" s="774">
        <f t="shared" si="11"/>
        <v>100</v>
      </c>
      <c r="V43" s="773" t="s">
        <v>17</v>
      </c>
      <c r="W43" s="774">
        <f t="shared" si="12"/>
        <v>100</v>
      </c>
      <c r="X43" s="1815"/>
      <c r="Y43" s="3181"/>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1"/>
      <c r="Q44" s="1812">
        <f t="shared" si="14"/>
        <v>111</v>
      </c>
      <c r="R44" s="773" t="s">
        <v>17</v>
      </c>
      <c r="S44" s="774">
        <f t="shared" si="10"/>
        <v>100</v>
      </c>
      <c r="T44" s="773" t="s">
        <v>17</v>
      </c>
      <c r="U44" s="774">
        <f t="shared" si="11"/>
        <v>100</v>
      </c>
      <c r="V44" s="773" t="s">
        <v>17</v>
      </c>
      <c r="W44" s="774">
        <f t="shared" si="12"/>
        <v>100</v>
      </c>
      <c r="X44" s="1815"/>
      <c r="Y44" s="3181"/>
      <c r="Z44" s="1816">
        <f t="shared" si="13"/>
        <v>111</v>
      </c>
      <c r="AA44" s="1813">
        <f t="shared" si="3"/>
        <v>1</v>
      </c>
      <c r="AB44" s="1813">
        <f t="shared" si="4"/>
        <v>1</v>
      </c>
      <c r="AC44" s="1813">
        <f t="shared" si="5"/>
        <v>1</v>
      </c>
    </row>
    <row r="45" spans="1:29" s="470" customFormat="1" ht="15.75" thickBot="1">
      <c r="A45" s="467"/>
      <c r="B45" s="1389">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1"/>
      <c r="Q45" s="1812">
        <f t="shared" si="14"/>
        <v>111</v>
      </c>
      <c r="R45" s="776" t="s">
        <v>17</v>
      </c>
      <c r="S45" s="777">
        <f t="shared" si="10"/>
        <v>100</v>
      </c>
      <c r="T45" s="776" t="s">
        <v>17</v>
      </c>
      <c r="U45" s="777">
        <f t="shared" si="11"/>
        <v>100</v>
      </c>
      <c r="V45" s="776" t="s">
        <v>17</v>
      </c>
      <c r="W45" s="777">
        <f t="shared" si="12"/>
        <v>100</v>
      </c>
      <c r="X45" s="778"/>
      <c r="Y45" s="3181"/>
      <c r="Z45" s="779">
        <f t="shared" si="13"/>
        <v>111</v>
      </c>
      <c r="AA45" s="1813">
        <f t="shared" si="3"/>
        <v>1</v>
      </c>
      <c r="AB45" s="1813">
        <f t="shared" si="4"/>
        <v>1</v>
      </c>
      <c r="AC45" s="1813">
        <f t="shared" si="5"/>
        <v>1</v>
      </c>
    </row>
    <row r="46" spans="1:29" ht="15">
      <c r="A46" s="478" t="s">
        <v>2712</v>
      </c>
      <c r="B46" s="2705" t="s">
        <v>2748</v>
      </c>
      <c r="C46" s="681" t="s">
        <v>1</v>
      </c>
      <c r="D46" s="480"/>
      <c r="E46" s="481"/>
      <c r="F46" s="482"/>
      <c r="G46" s="483"/>
      <c r="H46" s="484"/>
      <c r="I46" s="481"/>
      <c r="J46" s="484"/>
      <c r="K46" s="782"/>
      <c r="L46" s="1145"/>
      <c r="M46" s="1146"/>
      <c r="N46" s="1133"/>
      <c r="O46" s="1146"/>
      <c r="P46" s="3160" t="str">
        <f>A46</f>
        <v>成交单价</v>
      </c>
      <c r="Q46" s="3160"/>
      <c r="R46" s="3178">
        <f>E46</f>
        <v>0</v>
      </c>
      <c r="S46" s="3178"/>
      <c r="T46" s="3178">
        <f>G46</f>
        <v>0</v>
      </c>
      <c r="U46" s="3178"/>
      <c r="V46" s="3178">
        <f>I46</f>
        <v>0</v>
      </c>
      <c r="W46" s="3178"/>
      <c r="X46" s="758"/>
      <c r="Y46" s="780"/>
      <c r="Z46" s="758"/>
      <c r="AA46" s="758"/>
      <c r="AB46" s="758"/>
      <c r="AC46" s="758"/>
    </row>
    <row r="47" spans="1:29" ht="15.75" thickBot="1">
      <c r="A47" s="485" t="s">
        <v>2661</v>
      </c>
      <c r="B47" s="682"/>
      <c r="C47" s="489" t="e">
        <f>R48</f>
        <v>#DIV/0!</v>
      </c>
      <c r="D47" s="488"/>
      <c r="E47" s="489" t="e">
        <f>R47</f>
        <v>#DIV/0!</v>
      </c>
      <c r="F47" s="490"/>
      <c r="G47" s="487" t="e">
        <f>T47</f>
        <v>#DIV/0!</v>
      </c>
      <c r="H47" s="488"/>
      <c r="I47" s="489" t="e">
        <f>V47</f>
        <v>#DIV/0!</v>
      </c>
      <c r="J47" s="488"/>
      <c r="K47" s="783"/>
      <c r="L47" s="1145"/>
      <c r="M47" s="1146"/>
      <c r="N47" s="1146"/>
      <c r="O47" s="1146"/>
      <c r="P47" s="3160" t="str">
        <f>A47</f>
        <v>比较价值（元/平方米）</v>
      </c>
      <c r="Q47" s="3160"/>
      <c r="R47" s="3200" t="e">
        <f>ROUND(PRODUCT(R46,AA7:AA45),0)</f>
        <v>#DIV/0!</v>
      </c>
      <c r="S47" s="3200"/>
      <c r="T47" s="3200" t="e">
        <f>ROUND(PRODUCT(T46,AB7:AB45),0)</f>
        <v>#DIV/0!</v>
      </c>
      <c r="U47" s="3200"/>
      <c r="V47" s="3200" t="e">
        <f>ROUND(PRODUCT(V46,AC7:AC45),0)</f>
        <v>#DIV/0!</v>
      </c>
      <c r="W47" s="3200"/>
      <c r="X47" s="758"/>
      <c r="Y47" s="758"/>
      <c r="Z47" s="758"/>
      <c r="AA47" s="758"/>
      <c r="AB47" s="758"/>
      <c r="AC47" s="758"/>
    </row>
    <row r="48" spans="1:29" ht="15.75" thickBot="1">
      <c r="A48" s="491" t="s">
        <v>2749</v>
      </c>
      <c r="B48" s="492"/>
      <c r="C48" s="493" t="e">
        <f>R48</f>
        <v>#DIV/0!</v>
      </c>
      <c r="D48" s="493"/>
      <c r="E48" s="493"/>
      <c r="F48" s="493"/>
      <c r="G48" s="493"/>
      <c r="H48" s="493"/>
      <c r="I48" s="493"/>
      <c r="J48" s="493"/>
      <c r="K48" s="784"/>
      <c r="L48" s="1145"/>
      <c r="M48" s="1146"/>
      <c r="N48" s="1146"/>
      <c r="O48" s="1146"/>
      <c r="P48" s="3197" t="str">
        <f>A48</f>
        <v>估价对象XX用房的比较价值（楼面单价，元/平方米）</v>
      </c>
      <c r="Q48" s="3198"/>
      <c r="R48" s="3199" t="e">
        <f>ROUND(AVERAGE(R47:V47),0)</f>
        <v>#DIV/0!</v>
      </c>
      <c r="S48" s="3199"/>
      <c r="T48" s="3199"/>
      <c r="U48" s="3199"/>
      <c r="V48" s="3199"/>
      <c r="W48" s="3199"/>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2664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2665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2750</v>
      </c>
      <c r="B55" s="684" t="s">
        <v>2751</v>
      </c>
      <c r="C55" s="2706" t="s">
        <v>2752</v>
      </c>
      <c r="D55" s="2707" t="s">
        <v>2753</v>
      </c>
      <c r="E55" s="685" t="s">
        <v>2754</v>
      </c>
      <c r="F55" s="1109" t="s">
        <v>2755</v>
      </c>
      <c r="G55" s="3157" t="s">
        <v>2756</v>
      </c>
      <c r="H55" s="3158"/>
      <c r="I55" s="143" t="s">
        <v>2757</v>
      </c>
      <c r="J55" s="2708" t="str">
        <f>项目基本情况!F35</f>
        <v>河北省保定市</v>
      </c>
      <c r="K55" s="2709" t="s">
        <v>2758</v>
      </c>
      <c r="L55" s="1108"/>
      <c r="M55" s="1146"/>
      <c r="N55" s="1146"/>
      <c r="O55" s="1146"/>
    </row>
    <row r="56" spans="1:15" s="691" customFormat="1">
      <c r="A56" s="687" t="s">
        <v>2759</v>
      </c>
      <c r="B56" s="688" t="e">
        <f>C48</f>
        <v>#DIV/0!</v>
      </c>
      <c r="C56" s="689">
        <v>1</v>
      </c>
      <c r="D56" s="1165">
        <v>1</v>
      </c>
      <c r="E56" s="689">
        <f>'数据-汇总表'!E8+'数据-汇总表'!E9</f>
        <v>17987.810000000001</v>
      </c>
      <c r="F56" s="1105" t="e">
        <f t="shared" ref="F56:F65" si="15">ROUND(B56*E56/10000,0)</f>
        <v>#DIV/0!</v>
      </c>
      <c r="G56" s="3159"/>
      <c r="H56" s="3160"/>
      <c r="I56" s="1110">
        <v>1</v>
      </c>
      <c r="J56" s="1113">
        <v>1</v>
      </c>
      <c r="K56" s="1147"/>
      <c r="L56" s="943"/>
      <c r="M56" s="943"/>
      <c r="N56" s="943"/>
      <c r="O56" s="943"/>
    </row>
    <row r="57" spans="1:15" s="691" customFormat="1">
      <c r="A57" s="692" t="s">
        <v>2760</v>
      </c>
      <c r="B57" s="261" t="e">
        <f>ROUND($C$48*C57*D57,0)</f>
        <v>#DIV/0!</v>
      </c>
      <c r="C57" s="199">
        <f t="shared" ref="C57:C65" si="16">IF($C$55="北京市系数",I57,J57)</f>
        <v>0</v>
      </c>
      <c r="D57" s="1166">
        <v>0.25</v>
      </c>
      <c r="E57" s="693"/>
      <c r="F57" s="1105" t="e">
        <f t="shared" si="15"/>
        <v>#DIV/0!</v>
      </c>
      <c r="G57" s="3161" t="s">
        <v>2761</v>
      </c>
      <c r="H57" s="1106">
        <f>项目基本情况!B37</f>
        <v>0</v>
      </c>
      <c r="I57" s="1110">
        <f>SUMIF(修正!A45:A56,H57,修正!B45:B56)</f>
        <v>0</v>
      </c>
      <c r="J57" s="1114"/>
      <c r="K57" s="1146"/>
      <c r="L57" s="943"/>
      <c r="M57" s="943"/>
      <c r="N57" s="943"/>
      <c r="O57" s="943"/>
    </row>
    <row r="58" spans="1:15" s="691" customFormat="1">
      <c r="A58" s="692" t="s">
        <v>2762</v>
      </c>
      <c r="B58" s="261" t="e">
        <f t="shared" ref="B58:B65" si="17">ROUND($C$48*C58*D58,0)</f>
        <v>#DIV/0!</v>
      </c>
      <c r="C58" s="199">
        <f t="shared" si="16"/>
        <v>0</v>
      </c>
      <c r="D58" s="1166">
        <v>0.25</v>
      </c>
      <c r="E58" s="693"/>
      <c r="F58" s="1105" t="e">
        <f t="shared" si="15"/>
        <v>#DIV/0!</v>
      </c>
      <c r="G58" s="3161"/>
      <c r="H58" s="1106">
        <f>项目基本情况!B37</f>
        <v>0</v>
      </c>
      <c r="I58" s="1110">
        <f>SUMIF(修正!A45:A56,H58,修正!C45:C56)</f>
        <v>0</v>
      </c>
      <c r="J58" s="1114"/>
      <c r="K58" s="1147"/>
      <c r="L58" s="943"/>
      <c r="M58" s="943"/>
      <c r="N58" s="943"/>
      <c r="O58" s="943"/>
    </row>
    <row r="59" spans="1:15" s="691" customFormat="1">
      <c r="A59" s="692" t="s">
        <v>2763</v>
      </c>
      <c r="B59" s="261" t="e">
        <f t="shared" si="17"/>
        <v>#DIV/0!</v>
      </c>
      <c r="C59" s="199">
        <f t="shared" si="16"/>
        <v>0</v>
      </c>
      <c r="D59" s="1166">
        <v>0.25</v>
      </c>
      <c r="E59" s="693"/>
      <c r="F59" s="1105" t="e">
        <f t="shared" si="15"/>
        <v>#DIV/0!</v>
      </c>
      <c r="G59" s="3161"/>
      <c r="H59" s="1106">
        <f>项目基本情况!B37</f>
        <v>0</v>
      </c>
      <c r="I59" s="1110">
        <f>SUMIF(修正!A45:A56,H59,修正!D45:D56)</f>
        <v>0</v>
      </c>
      <c r="J59" s="1114"/>
      <c r="K59" s="1146"/>
      <c r="L59" s="943"/>
      <c r="M59" s="943"/>
      <c r="N59" s="943"/>
      <c r="O59" s="943"/>
    </row>
    <row r="60" spans="1:15" s="691" customFormat="1">
      <c r="A60" s="692" t="s">
        <v>2764</v>
      </c>
      <c r="B60" s="261" t="e">
        <f t="shared" si="17"/>
        <v>#DIV/0!</v>
      </c>
      <c r="C60" s="199">
        <f t="shared" si="16"/>
        <v>0</v>
      </c>
      <c r="D60" s="1166">
        <v>0.25</v>
      </c>
      <c r="E60" s="693"/>
      <c r="F60" s="1105" t="e">
        <f t="shared" si="15"/>
        <v>#DIV/0!</v>
      </c>
      <c r="G60" s="3161"/>
      <c r="H60" s="1106">
        <f>项目基本情况!B37</f>
        <v>0</v>
      </c>
      <c r="I60" s="1110">
        <f>SUMIF(修正!A45:A56,H60,修正!E45:E56)</f>
        <v>0</v>
      </c>
      <c r="J60" s="1114"/>
      <c r="K60" s="1147"/>
      <c r="L60" s="943"/>
      <c r="M60" s="943"/>
      <c r="N60" s="943"/>
      <c r="O60" s="943"/>
    </row>
    <row r="61" spans="1:15" s="691" customFormat="1">
      <c r="A61" s="692" t="s">
        <v>2765</v>
      </c>
      <c r="B61" s="261" t="e">
        <f t="shared" si="17"/>
        <v>#DIV/0!</v>
      </c>
      <c r="C61" s="199">
        <f t="shared" si="16"/>
        <v>0</v>
      </c>
      <c r="D61" s="1166">
        <v>0.25</v>
      </c>
      <c r="E61" s="260">
        <f>'数据-汇总表'!E11</f>
        <v>0</v>
      </c>
      <c r="F61" s="1105" t="e">
        <f t="shared" si="15"/>
        <v>#DIV/0!</v>
      </c>
      <c r="G61" s="2710" t="s">
        <v>2766</v>
      </c>
      <c r="H61" s="1106">
        <f>项目基本情况!C37</f>
        <v>0</v>
      </c>
      <c r="I61" s="1110">
        <f>SUMIF(修正!A45:A56,H61,修正!F45:F56)</f>
        <v>0</v>
      </c>
      <c r="J61" s="1114"/>
      <c r="K61" s="1146"/>
      <c r="L61" s="943"/>
      <c r="M61" s="943"/>
      <c r="N61" s="943"/>
      <c r="O61" s="943"/>
    </row>
    <row r="62" spans="1:15" s="691" customFormat="1">
      <c r="A62" s="692" t="s">
        <v>2767</v>
      </c>
      <c r="B62" s="261" t="e">
        <f t="shared" si="17"/>
        <v>#DIV/0!</v>
      </c>
      <c r="C62" s="199">
        <f t="shared" si="16"/>
        <v>0</v>
      </c>
      <c r="D62" s="1166">
        <v>0.25</v>
      </c>
      <c r="E62" s="260">
        <f>'数据-汇总表'!E12</f>
        <v>0</v>
      </c>
      <c r="F62" s="1105" t="e">
        <f t="shared" si="15"/>
        <v>#DIV/0!</v>
      </c>
      <c r="G62" s="1111" t="s">
        <v>2768</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2769</v>
      </c>
      <c r="B63" s="261" t="e">
        <f t="shared" si="17"/>
        <v>#DIV/0!</v>
      </c>
      <c r="C63" s="199">
        <f t="shared" si="16"/>
        <v>0</v>
      </c>
      <c r="D63" s="1166">
        <v>0.25</v>
      </c>
      <c r="E63" s="260">
        <f>'数据-汇总表'!E13</f>
        <v>0</v>
      </c>
      <c r="F63" s="1105" t="e">
        <f t="shared" si="15"/>
        <v>#DIV/0!</v>
      </c>
      <c r="G63" s="1111" t="s">
        <v>2770</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2771</v>
      </c>
      <c r="B64" s="261" t="e">
        <f t="shared" si="17"/>
        <v>#DIV/0!</v>
      </c>
      <c r="C64" s="199">
        <f t="shared" si="16"/>
        <v>0</v>
      </c>
      <c r="D64" s="1166">
        <v>0.25</v>
      </c>
      <c r="E64" s="260">
        <f>'数据-汇总表'!E14</f>
        <v>0</v>
      </c>
      <c r="F64" s="1105" t="e">
        <f t="shared" si="15"/>
        <v>#DIV/0!</v>
      </c>
      <c r="G64" s="2710" t="s">
        <v>2761</v>
      </c>
      <c r="H64" s="1106">
        <f>项目基本情况!B37</f>
        <v>0</v>
      </c>
      <c r="I64" s="1110">
        <f>SUMIF(修正!A45:A56,H64,修正!H45:H56)</f>
        <v>0</v>
      </c>
      <c r="J64" s="1114"/>
      <c r="K64" s="1147"/>
      <c r="L64" s="943"/>
      <c r="M64" s="943"/>
      <c r="N64" s="943"/>
      <c r="O64" s="943"/>
    </row>
    <row r="65" spans="1:17" s="691" customFormat="1" ht="15" thickBot="1">
      <c r="A65" s="692" t="s">
        <v>2772</v>
      </c>
      <c r="B65" s="261" t="e">
        <f t="shared" si="17"/>
        <v>#DIV/0!</v>
      </c>
      <c r="C65" s="199">
        <f t="shared" si="16"/>
        <v>0</v>
      </c>
      <c r="D65" s="1166">
        <v>0.25</v>
      </c>
      <c r="E65" s="260">
        <f>'数据-汇总表'!E15</f>
        <v>0</v>
      </c>
      <c r="F65" s="1105" t="e">
        <f t="shared" si="15"/>
        <v>#DIV/0!</v>
      </c>
      <c r="G65" s="2711" t="s">
        <v>2766</v>
      </c>
      <c r="H65" s="1116">
        <f>项目基本情况!C37</f>
        <v>0</v>
      </c>
      <c r="I65" s="1112">
        <f>SUMIF(修正!A45:A56,H65,修正!H45:H56)</f>
        <v>0</v>
      </c>
      <c r="J65" s="1115"/>
      <c r="K65" s="1146"/>
      <c r="L65" s="943"/>
      <c r="M65" s="943"/>
      <c r="N65" s="943"/>
      <c r="O65" s="943"/>
    </row>
    <row r="66" spans="1:17" s="691" customFormat="1" ht="13.5" thickBot="1">
      <c r="A66" s="694" t="s">
        <v>2773</v>
      </c>
      <c r="B66" s="695" t="s">
        <v>28</v>
      </c>
      <c r="C66" s="695" t="s">
        <v>29</v>
      </c>
      <c r="D66" s="695" t="s">
        <v>1026</v>
      </c>
      <c r="E66" s="695">
        <f>IF(B46="楼面地价",SUM(E56:E65),'数据-汇总表'!D3)</f>
        <v>17987.810000000001</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row>
    <row r="69" spans="1:17" ht="21.75" thickBot="1">
      <c r="A69" s="762" t="s">
        <v>2666</v>
      </c>
      <c r="B69" s="758"/>
      <c r="C69" s="763"/>
      <c r="D69" s="763"/>
      <c r="E69" s="763"/>
      <c r="F69" s="764"/>
      <c r="G69" s="764"/>
      <c r="H69" s="763"/>
      <c r="I69" s="763"/>
      <c r="J69" s="1161"/>
      <c r="K69" s="1162"/>
      <c r="L69" s="1163"/>
      <c r="M69" s="1161"/>
      <c r="N69" s="1161"/>
      <c r="O69" s="1161"/>
      <c r="P69" s="502"/>
      <c r="Q69" s="503"/>
    </row>
    <row r="70" spans="1:17" s="507" customFormat="1" ht="15">
      <c r="A70" s="2712" t="s">
        <v>2774</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6"/>
    </row>
    <row r="71" spans="1:17" s="116" customFormat="1" ht="30" customHeight="1">
      <c r="A71" s="2713" t="s">
        <v>2775</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9"/>
      <c r="N71" s="594"/>
      <c r="O71" s="1570"/>
      <c r="P71" s="503"/>
    </row>
    <row r="72" spans="1:17" s="116" customFormat="1" ht="15.75" thickBot="1">
      <c r="A72" s="514" t="s">
        <v>2577</v>
      </c>
      <c r="B72" s="515"/>
      <c r="C72" s="516"/>
      <c r="D72" s="517"/>
      <c r="E72" s="517"/>
      <c r="F72" s="517"/>
      <c r="G72" s="517"/>
      <c r="H72" s="517"/>
      <c r="I72" s="517"/>
      <c r="J72" s="517"/>
      <c r="K72" s="517"/>
      <c r="L72" s="517"/>
      <c r="M72" s="518"/>
      <c r="N72" s="517"/>
      <c r="O72" s="1164"/>
      <c r="P72" s="503"/>
      <c r="Q72" s="503"/>
    </row>
    <row r="73" spans="1:17" s="116" customFormat="1" ht="15">
      <c r="A73" s="520" t="s">
        <v>2542</v>
      </c>
      <c r="B73" s="509"/>
      <c r="C73" s="521" t="s">
        <v>2644</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2580</v>
      </c>
      <c r="B75" s="527" t="s">
        <v>2546</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2549</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7"/>
      <c r="M96" s="621"/>
      <c r="N96" s="1153"/>
      <c r="O96" s="1153"/>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1"/>
      <c r="N98" s="1153"/>
      <c r="O98" s="1153"/>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2683</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2742</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2555</v>
      </c>
      <c r="B116" s="527" t="s">
        <v>2783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2784</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2785</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2786</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2787</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39" t="s">
        <v>2795</v>
      </c>
      <c r="B1" s="240"/>
      <c r="C1" s="244" t="s">
        <v>2796</v>
      </c>
      <c r="D1" s="387">
        <f>SUM(D29:D30,D33:D39)</f>
        <v>0</v>
      </c>
      <c r="E1" s="2718"/>
      <c r="F1" s="2718"/>
      <c r="G1" s="2718"/>
      <c r="H1" s="2718"/>
      <c r="I1" s="2718"/>
      <c r="J1" s="2718"/>
      <c r="K1" s="1372"/>
      <c r="L1" s="2719" t="s">
        <v>2797</v>
      </c>
      <c r="M1" s="1082">
        <f>SUMPRODUCT((区片价!B5:B9=I2)*(区片价!C3:F3=E2)*(区片价!C5:F9))</f>
        <v>0</v>
      </c>
      <c r="N1" s="1085">
        <f>SUMPRODUCT((因素修正幅度!B5:B9=I2)*(因素修正幅度!C3:F3=E2)*(因素修正幅度!C5:F9))</f>
        <v>0</v>
      </c>
      <c r="O1" s="2720"/>
      <c r="P1" s="2720"/>
      <c r="Q1" s="1372"/>
      <c r="R1" s="1604" t="s">
        <v>2798</v>
      </c>
      <c r="S1" s="1604" t="s">
        <v>2799</v>
      </c>
      <c r="T1" s="1604" t="s">
        <v>2800</v>
      </c>
      <c r="U1" s="1604" t="s">
        <v>2801</v>
      </c>
      <c r="V1" s="1604" t="s">
        <v>2802</v>
      </c>
      <c r="W1" s="1608"/>
      <c r="X1" s="1608"/>
      <c r="Y1" s="1608"/>
      <c r="Z1" s="1608"/>
      <c r="AA1" s="1608"/>
      <c r="AB1" s="1608"/>
      <c r="AC1" s="1609"/>
      <c r="AD1" s="1610"/>
      <c r="AE1" s="1610"/>
      <c r="AF1" s="1610"/>
      <c r="AG1" s="1610"/>
      <c r="AH1" s="1610"/>
      <c r="AI1" s="1610"/>
      <c r="AJ1" s="1611"/>
    </row>
    <row r="2" spans="1:36" ht="15.75">
      <c r="A2" s="244" t="s">
        <v>2803</v>
      </c>
      <c r="B2" s="247" t="e">
        <f>C26</f>
        <v>#DIV/0!</v>
      </c>
      <c r="C2" s="2722" t="s">
        <v>2804</v>
      </c>
      <c r="D2" s="2723" t="s">
        <v>2805</v>
      </c>
      <c r="E2" s="2724"/>
      <c r="F2" s="2723" t="s">
        <v>2806</v>
      </c>
      <c r="G2" s="2725">
        <f>IF(E2="商业",项目基本情况!B37,IF(E2="办公",项目基本情况!C37,IF(E2="住宅",项目基本情况!D37,项目基本情况!E37)))</f>
        <v>0</v>
      </c>
      <c r="H2" s="2723" t="s">
        <v>2807</v>
      </c>
      <c r="I2" s="2725">
        <f>IF(E2="商业",项目基本情况!B38,IF(E2="办公",项目基本情况!C38,IF(E2="住宅",项目基本情况!D38,项目基本情况!E38)))</f>
        <v>0</v>
      </c>
      <c r="J2" s="2726"/>
      <c r="K2" s="1372"/>
      <c r="L2" s="2727" t="s">
        <v>2808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2809</v>
      </c>
      <c r="B3" s="247" t="e">
        <f>ROUND(B2*10000/D1,0)</f>
        <v>#DIV/0!</v>
      </c>
      <c r="C3" s="2722" t="s">
        <v>2810</v>
      </c>
      <c r="D3" s="2723" t="s">
        <v>2811</v>
      </c>
      <c r="E3" s="2728"/>
      <c r="F3" s="2729" t="s">
        <v>2812</v>
      </c>
      <c r="G3" s="915">
        <f>IF(F3="宗地容积率",'数据-汇总表'!I4,IF(F3="估价对象容积率",'数据-汇总表'!I6,'数据-汇总表'!I7))</f>
        <v>0.7</v>
      </c>
      <c r="H3" s="197" t="s">
        <v>2813</v>
      </c>
      <c r="I3" s="946"/>
      <c r="J3" s="2726" t="s">
        <v>2814</v>
      </c>
      <c r="K3" s="1372"/>
      <c r="L3" s="2727" t="s">
        <v>2815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1"/>
      <c r="B4" s="3262"/>
      <c r="C4" s="3262"/>
      <c r="D4" s="3263"/>
      <c r="E4" s="3263"/>
      <c r="F4" s="3263"/>
      <c r="G4" s="3263"/>
      <c r="H4" s="3263"/>
      <c r="I4" s="3263"/>
      <c r="J4" s="3264"/>
      <c r="K4" s="1372"/>
      <c r="L4" s="2727" t="s">
        <v>2816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2817</v>
      </c>
      <c r="C5" s="916" t="e">
        <f>ROUND(IF(E2="商业",IF(F16="增加",C6*C7+C16,C6*C7-C16),IF(E2="住宅",IF(F16="增加",C6*C12+C16,C6*C12-C16),IF(F16="增加",C6+C16,C6-C16))),0)</f>
        <v>#DIV/0!</v>
      </c>
      <c r="D5" s="1789" t="e">
        <f>ROUND(IF(F16="增加",C6+C16,C6-C16),0)</f>
        <v>#DIV/0!</v>
      </c>
      <c r="E5" s="1789"/>
      <c r="F5" s="2732"/>
      <c r="G5" s="2733"/>
      <c r="H5" s="2733"/>
      <c r="I5" s="2733"/>
      <c r="J5" s="2734"/>
      <c r="K5" s="2735"/>
      <c r="L5" s="2727" t="s">
        <v>2818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75" thickBot="1">
      <c r="A6" s="2740" t="s">
        <v>2819</v>
      </c>
      <c r="B6" s="2741" t="s">
        <v>2820</v>
      </c>
      <c r="C6" s="917">
        <f>SUMIF(L1:L12,G2,M1:M12)</f>
        <v>0</v>
      </c>
      <c r="D6" s="2742" t="s">
        <v>2821</v>
      </c>
      <c r="E6" s="2743"/>
      <c r="F6" s="2743"/>
      <c r="G6" s="2744"/>
      <c r="H6" s="2744"/>
      <c r="I6" s="2744"/>
      <c r="J6" s="2745"/>
      <c r="K6" s="1844"/>
      <c r="L6" s="2727" t="s">
        <v>2822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265" t="str">
        <f>IF(E2="商业",IF(C8="不临58条商业街","",2),"")</f>
        <v/>
      </c>
      <c r="B7" s="2746" t="s">
        <v>2823</v>
      </c>
      <c r="C7" s="918" t="e">
        <f>IF(C8="不临58条商业街",1,ROUND(1+(1.6*E8+1.2*E9+0.8*E10+0.4*E11)*C9,4))</f>
        <v>#DIV/0!</v>
      </c>
      <c r="D7" s="2747" t="s">
        <v>2824</v>
      </c>
      <c r="E7" s="947"/>
      <c r="F7" s="2748"/>
      <c r="G7" s="2749"/>
      <c r="H7" s="2749"/>
      <c r="I7" s="2749"/>
      <c r="J7" s="2750"/>
      <c r="K7" s="1844"/>
      <c r="L7" s="2727" t="s">
        <v>2825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2826</v>
      </c>
      <c r="X7" s="1606">
        <f>G2</f>
        <v>0</v>
      </c>
      <c r="Y7" s="1606" t="s">
        <v>2827</v>
      </c>
      <c r="Z7" s="1607">
        <f>G3</f>
        <v>0.7</v>
      </c>
      <c r="AA7" s="1608"/>
      <c r="AB7" s="1608"/>
      <c r="AC7" s="1609"/>
      <c r="AD7" s="1610"/>
      <c r="AE7" s="1610"/>
      <c r="AF7" s="1610"/>
      <c r="AG7" s="1610"/>
      <c r="AH7" s="1610"/>
      <c r="AI7" s="1610"/>
      <c r="AJ7" s="1611"/>
    </row>
    <row r="8" spans="1:36" ht="15">
      <c r="A8" s="3266"/>
      <c r="B8" s="197" t="s">
        <v>2828</v>
      </c>
      <c r="C8" s="2751"/>
      <c r="D8" s="919" t="s">
        <v>139</v>
      </c>
      <c r="E8" s="920" t="e">
        <f>ROUND(C11/E7,4)</f>
        <v>#DIV/0!</v>
      </c>
      <c r="F8" s="2752" t="s">
        <v>2829</v>
      </c>
      <c r="G8" s="2753"/>
      <c r="H8" s="2753"/>
      <c r="I8" s="2753"/>
      <c r="J8" s="2754"/>
      <c r="K8" s="1372"/>
      <c r="L8" s="2727" t="s">
        <v>2830</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58" t="s">
        <v>2831</v>
      </c>
      <c r="X8" s="3259"/>
      <c r="Y8" s="1612" t="s">
        <v>2832</v>
      </c>
      <c r="Z8" s="1612" t="s">
        <v>2833</v>
      </c>
      <c r="AA8" s="1612" t="s">
        <v>2834</v>
      </c>
      <c r="AB8" s="1612" t="s">
        <v>2835</v>
      </c>
      <c r="AC8" s="1612" t="s">
        <v>2836</v>
      </c>
      <c r="AD8" s="1612" t="s">
        <v>2837</v>
      </c>
      <c r="AE8" s="1612" t="s">
        <v>2838</v>
      </c>
      <c r="AF8" s="1612" t="s">
        <v>2839</v>
      </c>
      <c r="AG8" s="1612" t="s">
        <v>2840</v>
      </c>
      <c r="AH8" s="1612" t="s">
        <v>2841</v>
      </c>
      <c r="AI8" s="1612" t="s">
        <v>2842</v>
      </c>
      <c r="AJ8" s="1612" t="s">
        <v>2843</v>
      </c>
    </row>
    <row r="9" spans="1:36" ht="15">
      <c r="A9" s="3266"/>
      <c r="B9" s="197" t="s">
        <v>2844</v>
      </c>
      <c r="C9" s="921">
        <f>SUMIF(修正!C59:C119,C8,修正!E59:E119)</f>
        <v>0</v>
      </c>
      <c r="D9" s="199" t="s">
        <v>140</v>
      </c>
      <c r="E9" s="199" t="e">
        <f>ROUND(C11/E7,4)</f>
        <v>#DIV/0!</v>
      </c>
      <c r="F9" s="2752" t="s">
        <v>2845</v>
      </c>
      <c r="G9" s="2753"/>
      <c r="H9" s="2753"/>
      <c r="I9" s="2753"/>
      <c r="J9" s="2754"/>
      <c r="K9" s="1372"/>
      <c r="L9" s="2727" t="s">
        <v>2846</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60" t="s">
        <v>2847</v>
      </c>
      <c r="X9" s="1613" t="s">
        <v>2848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6"/>
      <c r="B10" s="197" t="s">
        <v>2849</v>
      </c>
      <c r="C10" s="199">
        <f>SUMIF(修正!C59:C119,C8,修正!F59:F119)</f>
        <v>0</v>
      </c>
      <c r="D10" s="199" t="s">
        <v>141</v>
      </c>
      <c r="E10" s="199" t="e">
        <f>ROUND(C11/E7,4)</f>
        <v>#DIV/0!</v>
      </c>
      <c r="F10" s="2752" t="s">
        <v>2850</v>
      </c>
      <c r="G10" s="2753"/>
      <c r="H10" s="2753"/>
      <c r="I10" s="2753"/>
      <c r="J10" s="2754"/>
      <c r="K10" s="1372"/>
      <c r="L10" s="2727" t="s">
        <v>2851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6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6"/>
      <c r="B11" s="2755" t="s">
        <v>2852</v>
      </c>
      <c r="C11" s="922">
        <f>C10/4</f>
        <v>0</v>
      </c>
      <c r="D11" s="922" t="s">
        <v>142</v>
      </c>
      <c r="E11" s="922" t="e">
        <f>ROUND(C11/E7,4)</f>
        <v>#DIV/0!</v>
      </c>
      <c r="F11" s="2756" t="s">
        <v>2853</v>
      </c>
      <c r="G11" s="2757"/>
      <c r="H11" s="2757"/>
      <c r="I11" s="2757"/>
      <c r="J11" s="2758"/>
      <c r="K11" s="1372"/>
      <c r="L11" s="2727" t="s">
        <v>2854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60" t="s">
        <v>2855</v>
      </c>
      <c r="X11" s="1616" t="s">
        <v>2856</v>
      </c>
      <c r="Y11" s="1617">
        <f>$G$3</f>
        <v>0.7</v>
      </c>
      <c r="Z11" s="1617">
        <f t="shared" ref="Z11:AJ11" si="3">$G$3</f>
        <v>0.7</v>
      </c>
      <c r="AA11" s="1617">
        <f t="shared" si="3"/>
        <v>0.7</v>
      </c>
      <c r="AB11" s="1617">
        <f t="shared" si="3"/>
        <v>0.7</v>
      </c>
      <c r="AC11" s="1617">
        <f t="shared" si="3"/>
        <v>0.7</v>
      </c>
      <c r="AD11" s="1617">
        <f t="shared" si="3"/>
        <v>0.7</v>
      </c>
      <c r="AE11" s="1617">
        <f t="shared" si="3"/>
        <v>0.7</v>
      </c>
      <c r="AF11" s="1617">
        <f t="shared" si="3"/>
        <v>0.7</v>
      </c>
      <c r="AG11" s="1617">
        <f t="shared" si="3"/>
        <v>0.7</v>
      </c>
      <c r="AH11" s="1617">
        <f t="shared" si="3"/>
        <v>0.7</v>
      </c>
      <c r="AI11" s="1617">
        <f t="shared" si="3"/>
        <v>0.7</v>
      </c>
      <c r="AJ11" s="1617">
        <f t="shared" si="3"/>
        <v>0.7</v>
      </c>
    </row>
    <row r="12" spans="1:36" ht="25.5" thickBot="1">
      <c r="A12" s="3265" t="s">
        <v>2857</v>
      </c>
      <c r="B12" s="2759" t="s">
        <v>2858</v>
      </c>
      <c r="C12" s="918">
        <f>ROUND(C15*D15*E15*F15*G15*H15*I15*J15,4)</f>
        <v>1</v>
      </c>
      <c r="D12" s="2760" t="s">
        <v>2859</v>
      </c>
      <c r="E12" s="2761"/>
      <c r="F12" s="2761"/>
      <c r="G12" s="2762"/>
      <c r="H12" s="2762"/>
      <c r="I12" s="2762"/>
      <c r="J12" s="2763"/>
      <c r="K12" s="1372"/>
      <c r="L12" s="2764" t="s">
        <v>2860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60"/>
      <c r="X12" s="1618" t="s">
        <v>2861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7"/>
      <c r="B13" s="2765" t="s">
        <v>2862</v>
      </c>
      <c r="C13" s="2766" t="s">
        <v>2863</v>
      </c>
      <c r="D13" s="1810" t="s">
        <v>2864</v>
      </c>
      <c r="E13" s="1810" t="s">
        <v>2865</v>
      </c>
      <c r="F13" s="30" t="s">
        <v>2866</v>
      </c>
      <c r="G13" s="2767" t="s">
        <v>2867</v>
      </c>
      <c r="H13" s="2767" t="s">
        <v>2867</v>
      </c>
      <c r="I13" s="2767" t="s">
        <v>2867</v>
      </c>
      <c r="J13" s="2768" t="s">
        <v>2867</v>
      </c>
      <c r="K13" s="1372"/>
      <c r="L13" s="1372"/>
      <c r="M13" s="1372"/>
      <c r="N13" s="1372"/>
      <c r="O13" s="1372"/>
      <c r="P13" s="1372"/>
      <c r="Q13" s="1372"/>
      <c r="R13" s="1604">
        <v>12</v>
      </c>
      <c r="S13" s="1605"/>
      <c r="T13" s="1604" t="e">
        <f t="shared" si="0"/>
        <v>#DIV/0!</v>
      </c>
      <c r="U13" s="1605"/>
      <c r="V13" s="1604" t="e">
        <f t="shared" si="1"/>
        <v>#DIV/0!</v>
      </c>
      <c r="W13" s="3260"/>
      <c r="X13" s="1618"/>
      <c r="Y13" s="1615">
        <f>(-0.163*(Y12^2)-0.59*Y12+7617)*(10^(-4))/Y11</f>
        <v>1.0881428571428573</v>
      </c>
      <c r="Z13" s="1615">
        <f t="shared" ref="Z13:AJ13" si="5">(-0.163*(Z12^2)-0.59*Z12+7617)*(10^(-4))/Z11</f>
        <v>1.0881428571428573</v>
      </c>
      <c r="AA13" s="1615">
        <f t="shared" si="5"/>
        <v>1.0881428571428573</v>
      </c>
      <c r="AB13" s="1615">
        <f t="shared" si="5"/>
        <v>1.0881428571428573</v>
      </c>
      <c r="AC13" s="1615">
        <f t="shared" si="5"/>
        <v>1.0881428571428573</v>
      </c>
      <c r="AD13" s="1615">
        <f t="shared" si="5"/>
        <v>1.0881428571428573</v>
      </c>
      <c r="AE13" s="1615">
        <f t="shared" si="5"/>
        <v>1.0881428571428573</v>
      </c>
      <c r="AF13" s="1615">
        <f t="shared" si="5"/>
        <v>1.0881428571428573</v>
      </c>
      <c r="AG13" s="1615">
        <f t="shared" si="5"/>
        <v>1.0881428571428573</v>
      </c>
      <c r="AH13" s="1615">
        <f t="shared" si="5"/>
        <v>1.0881428571428573</v>
      </c>
      <c r="AI13" s="1615">
        <f t="shared" si="5"/>
        <v>1.0881428571428573</v>
      </c>
      <c r="AJ13" s="1615">
        <f t="shared" si="5"/>
        <v>1.0881428571428573</v>
      </c>
    </row>
    <row r="14" spans="1:36" ht="15">
      <c r="A14" s="3267"/>
      <c r="B14" s="2769"/>
      <c r="C14" s="2770"/>
      <c r="D14" s="2771"/>
      <c r="E14" s="2771"/>
      <c r="F14" s="2772"/>
      <c r="G14" s="2773" t="s">
        <v>2868</v>
      </c>
      <c r="H14" s="2774"/>
      <c r="I14" s="2775"/>
      <c r="J14" s="2776"/>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8"/>
      <c r="B15" s="2777" t="s">
        <v>2869</v>
      </c>
      <c r="C15" s="228">
        <f>IF(C14="有",1.1,1)</f>
        <v>1</v>
      </c>
      <c r="D15" s="228">
        <f>IF(D14="有",1.1,1)</f>
        <v>1</v>
      </c>
      <c r="E15" s="228">
        <f>IF(E14="有",1.1,1)</f>
        <v>1</v>
      </c>
      <c r="F15" s="228">
        <f>IF(F14="500米范围内",1.2,IF(F14="500-1000米",1.1,1))</f>
        <v>1</v>
      </c>
      <c r="G15" s="948">
        <v>1</v>
      </c>
      <c r="H15" s="948">
        <v>1</v>
      </c>
      <c r="I15" s="948">
        <v>1</v>
      </c>
      <c r="J15" s="949">
        <v>1</v>
      </c>
      <c r="K15" s="1372"/>
      <c r="L15" s="2778" t="s">
        <v>2805</v>
      </c>
      <c r="M15" s="919" t="s">
        <v>2870</v>
      </c>
      <c r="N15" s="919" t="s">
        <v>2871</v>
      </c>
      <c r="O15" s="919" t="s">
        <v>2872</v>
      </c>
      <c r="P15" s="2779" t="s">
        <v>2873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5" t="s">
        <v>2874</v>
      </c>
      <c r="B16" s="2746" t="s">
        <v>2875</v>
      </c>
      <c r="C16" s="1803" t="e">
        <f>ROUND(SUM(G17:J17)/C17,0)</f>
        <v>#DIV/0!</v>
      </c>
      <c r="D16" s="2780" t="s">
        <v>2876</v>
      </c>
      <c r="E16" s="2781"/>
      <c r="F16" s="2782"/>
      <c r="G16" s="2783"/>
      <c r="H16" s="2783"/>
      <c r="I16" s="2783"/>
      <c r="J16" s="2784"/>
      <c r="K16" s="1372"/>
      <c r="L16" s="2785" t="s">
        <v>2877</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6"/>
      <c r="B17" s="2786" t="s">
        <v>2878</v>
      </c>
      <c r="C17" s="923">
        <f>SUMPRODUCT((修正!A2:A5=E2)*(修正!B1:M1=G2)*(修正!B2:M5))</f>
        <v>0</v>
      </c>
      <c r="D17" s="2787" t="s">
        <v>2879</v>
      </c>
      <c r="E17" s="922" t="str">
        <f>IF(OR(G2="八级",G2="九级",G2="十级",G2="十一级",G2="十二级"),"五通一平","七通一平")</f>
        <v>七通一平</v>
      </c>
      <c r="F17" s="923" t="s">
        <v>2880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2881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2882</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2883</v>
      </c>
      <c r="C19" s="926" t="e">
        <f>ROUND(IF(H19="按公示增长率计算",SUMPRODUCT((地价!A3:A24=YEAR(G19)&amp;"-"&amp;ROUNDUP(MONTH(G19)/3,0))*(地价!X2:AB2=E2)*(地价!X3:AB24)),IF(H19="地价指数",M20/M19,(1+I19)^O19)),4)</f>
        <v>#DIV/0!</v>
      </c>
      <c r="D19" s="2798" t="s">
        <v>2884</v>
      </c>
      <c r="E19" s="927">
        <v>41640</v>
      </c>
      <c r="F19" s="2798" t="s">
        <v>2885</v>
      </c>
      <c r="G19" s="928">
        <f>'数据-取费表'!B2</f>
        <v>43487</v>
      </c>
      <c r="H19" s="2799" t="s">
        <v>2886</v>
      </c>
      <c r="I19" s="929" t="str">
        <f>IF(H19="季度增幅（自定义）",SUMIF(N21:N24,E2,O21:O24),"")</f>
        <v/>
      </c>
      <c r="J19" s="2796"/>
      <c r="K19" s="1379"/>
      <c r="L19" s="2800" t="s">
        <v>2887</v>
      </c>
      <c r="M19" s="1736">
        <f>ROUND(SUMIF(地价!B2:F2,E2,地价!B24:F24),0)</f>
        <v>0</v>
      </c>
      <c r="N19" s="2801" t="s">
        <v>2888</v>
      </c>
      <c r="O19" s="930">
        <f>ROUNDDOWN(DATEDIF(E19,G19,"M")/3,0)</f>
        <v>20</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2889</v>
      </c>
      <c r="C20" s="931" t="e">
        <f>ROUND(POWER(1+G20,J20-I20)*(POWER(1+G20,I20)-1)/(POWER(1+G20,J20)-1),4)</f>
        <v>#DIV/0!</v>
      </c>
      <c r="D20" s="2807" t="s">
        <v>2890</v>
      </c>
      <c r="E20" s="1770">
        <f ca="1">存贷款利率!D4/100</f>
        <v>4.3499999999999997E-2</v>
      </c>
      <c r="F20" s="2807" t="s">
        <v>2881</v>
      </c>
      <c r="G20" s="936">
        <f>SUMIF(M15:P15,E2,M17:P17)</f>
        <v>0</v>
      </c>
      <c r="H20" s="2807" t="s">
        <v>2891</v>
      </c>
      <c r="I20" s="937" t="e">
        <f>SUMIF('数据-取费表'!C6:C15,E2,'数据-取费表'!F6:F15)/COUNTIF('数据-取费表'!C6:C15,E2)</f>
        <v>#DIV/0!</v>
      </c>
      <c r="J20" s="938">
        <f>IF(E2="住宅",70,IF(E2="商业",40,50))</f>
        <v>50</v>
      </c>
      <c r="K20" s="1379"/>
      <c r="L20" s="2808" t="s">
        <v>2892</v>
      </c>
      <c r="M20" s="1737">
        <f>ROUND(SUMPRODUCT((地价!A4:A24=YEAR(G19)&amp;"-"&amp;ROUNDUP(MONTH(G19)/3,0))*(地价!B2:F2=E2)*(地价!B4:F24)),0)</f>
        <v>0</v>
      </c>
      <c r="N20" s="2809" t="s">
        <v>2893</v>
      </c>
      <c r="O20" s="2810" t="s">
        <v>2894</v>
      </c>
      <c r="P20" s="2811" t="s">
        <v>2895</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2896</v>
      </c>
      <c r="C21" s="939">
        <f>IF(B21="容积率修正",IF(G3&lt;=10,D22,J22),C23)</f>
        <v>0</v>
      </c>
      <c r="D21" s="2814"/>
      <c r="E21" s="2814"/>
      <c r="F21" s="2814"/>
      <c r="G21" s="2814"/>
      <c r="H21" s="2814"/>
      <c r="I21" s="2814"/>
      <c r="J21" s="2815"/>
      <c r="K21" s="1379"/>
      <c r="N21" s="2816" t="s">
        <v>2897</v>
      </c>
      <c r="O21" s="1563"/>
      <c r="P21" s="1564">
        <f>SUMPRODUCT((地价!A3:A24=YEAR(G19)&amp;"-"&amp;ROUNDUP(MONTH(G19)/3,0))*(地价!AD2:AH2=N21)*(地价!AD3:AH24))</f>
        <v>0</v>
      </c>
      <c r="R21" s="1378"/>
      <c r="S21" s="1378"/>
      <c r="T21" s="1373"/>
      <c r="U21" s="1373"/>
      <c r="V21" s="1373"/>
      <c r="W21" s="1372"/>
      <c r="X21" s="1372"/>
      <c r="Y21" s="1372"/>
      <c r="Z21" s="1379"/>
      <c r="AA21" s="1380"/>
      <c r="AB21" s="1380"/>
      <c r="AC21" s="1380"/>
      <c r="AD21" s="1380"/>
      <c r="AE21" s="1380"/>
      <c r="AF21" s="1380"/>
    </row>
    <row r="22" spans="1:37" s="2739" customFormat="1" ht="14.25">
      <c r="A22" s="2665" t="s">
        <v>2898</v>
      </c>
      <c r="B22" s="2817" t="s">
        <v>2899</v>
      </c>
      <c r="C22" s="1812" t="s">
        <v>2900</v>
      </c>
      <c r="D22" s="1812" t="b">
        <f>IF(E22=G22,F22,IF(G3&lt;=10,ROUND(F22+(H22-F22)*(G3-E22)/(G22-E22),4),"——"))</f>
        <v>0</v>
      </c>
      <c r="E22" s="915">
        <f>ROUNDDOWN(G3,1)</f>
        <v>0.7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6" t="s">
        <v>2901</v>
      </c>
      <c r="O22" s="1563"/>
      <c r="P22" s="1564">
        <f>SUMPRODUCT((地价!A3:A24=YEAR(G19)&amp;"-"&amp;ROUNDUP(MONTH(G19)/3,0))*(地价!AD2:AH2=N22)*(地价!AD3:AH24))</f>
        <v>0</v>
      </c>
      <c r="R22" s="1378"/>
      <c r="S22" s="1378"/>
      <c r="T22" s="1373"/>
      <c r="U22" s="1373"/>
      <c r="V22" s="1373"/>
      <c r="W22" s="1372"/>
      <c r="X22" s="1372"/>
      <c r="Y22" s="1372"/>
      <c r="Z22" s="1379"/>
      <c r="AA22" s="1380"/>
      <c r="AB22" s="1380"/>
      <c r="AC22" s="1380"/>
      <c r="AD22" s="1380"/>
      <c r="AE22" s="1380"/>
      <c r="AF22" s="1380"/>
    </row>
    <row r="23" spans="1:37" ht="27.75" thickBot="1">
      <c r="A23" s="2665" t="s">
        <v>2902</v>
      </c>
      <c r="B23" s="2818" t="s">
        <v>2903</v>
      </c>
      <c r="C23" s="1015">
        <f>ROUND(IF(G3&gt;1,IF(I3&lt;7,SUMPRODUCT((B93:B98=I3)*(C92:N92=G2)*(C93:N98)),SUMIF(C92:N92,G2,C100:N100)),IF(I3&lt;7,SUMPRODUCT((B102:B107=I3)*(C92:N92=G2)*(C102:N107)),SUMIF(C92:N92,G2,C109:N109))),4)</f>
        <v>0</v>
      </c>
      <c r="D23" s="2774"/>
      <c r="E23" s="2774"/>
      <c r="F23" s="2819"/>
      <c r="G23" s="2820"/>
      <c r="H23" s="2821"/>
      <c r="I23" s="2822"/>
      <c r="J23" s="2823"/>
      <c r="K23" s="1372"/>
      <c r="N23" s="2816" t="s">
        <v>2904</v>
      </c>
      <c r="O23" s="1563"/>
      <c r="P23" s="1564">
        <f>SUMPRODUCT((地价!A3:A24=YEAR(G19)&amp;"-"&amp;ROUNDUP(MONTH(G19)/3,0))*(地价!AD2:AH2=N23)*(地价!AD3:AH24))</f>
        <v>0</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2905</v>
      </c>
      <c r="C24" s="926">
        <f>SUMIF(A45:A88,E2,B45:B88)</f>
        <v>0</v>
      </c>
      <c r="D24" s="2794"/>
      <c r="E24" s="2824"/>
      <c r="F24" s="2824"/>
      <c r="G24" s="2824"/>
      <c r="H24" s="2824"/>
      <c r="I24" s="2824"/>
      <c r="J24" s="2825"/>
      <c r="K24" s="1379"/>
      <c r="N24" s="2826" t="s">
        <v>2906</v>
      </c>
      <c r="O24" s="1565"/>
      <c r="P24" s="1566">
        <f>SUMPRODUCT((地价!A3:A24=YEAR(G19)&amp;"-"&amp;ROUNDUP(MONTH(G19)/3,0))*(地价!AD2:AH2=N24)*(地价!AD3:AH24))</f>
        <v>0</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2907</v>
      </c>
      <c r="C25" s="932"/>
      <c r="D25" s="2749"/>
      <c r="E25" s="2749"/>
      <c r="F25" s="2828"/>
      <c r="G25" s="2749"/>
      <c r="H25" s="2749"/>
      <c r="I25" s="2749"/>
      <c r="J25" s="2750"/>
      <c r="K25" s="1372"/>
      <c r="N25" s="2829" t="s">
        <v>2908</v>
      </c>
      <c r="O25" s="1567"/>
      <c r="P25" s="1566">
        <f>SUMPRODUCT((地价!A3:A24=YEAR(G19)&amp;"-"&amp;ROUNDUP(MONTH(G19)/3,0))*(地价!AD2:AH2=N25)*(地价!AD3:AH24))</f>
        <v>0</v>
      </c>
      <c r="R25" s="1378"/>
      <c r="S25" s="1378"/>
      <c r="T25" s="1373"/>
      <c r="U25" s="1373"/>
      <c r="V25" s="1373"/>
      <c r="W25" s="1372"/>
      <c r="X25" s="1372"/>
      <c r="Y25" s="1372"/>
      <c r="Z25" s="1379"/>
      <c r="AA25" s="1380"/>
      <c r="AB25" s="1380"/>
      <c r="AC25" s="1380"/>
      <c r="AD25" s="1380"/>
    </row>
    <row r="26" spans="1:37" ht="15">
      <c r="A26" s="2830"/>
      <c r="B26" s="2817" t="s">
        <v>2909</v>
      </c>
      <c r="C26" s="205"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2910</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2911</v>
      </c>
      <c r="C28" s="2841" t="s">
        <v>2912</v>
      </c>
      <c r="D28" s="2841" t="s">
        <v>2913</v>
      </c>
      <c r="E28" s="2842" t="s">
        <v>2914</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2915</v>
      </c>
      <c r="C29" s="205" t="e">
        <f>ROUND(C5*C18*C19*C20*C21*C24,0)</f>
        <v>#DIV/0!</v>
      </c>
      <c r="D29" s="2846"/>
      <c r="E29" s="944" t="e">
        <f>ROUND(C29*D29/10000,0)</f>
        <v>#DIV/0!</v>
      </c>
      <c r="F29" s="2847" t="s">
        <v>2916</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2917</v>
      </c>
      <c r="C30" s="228" t="e">
        <f>ROUND(IF(E2="工业",C29*M39,C29*M38),0)</f>
        <v>#DIV/0!</v>
      </c>
      <c r="D30" s="2852"/>
      <c r="E30" s="944" t="e">
        <f>ROUND(C30*D30/10000,0)</f>
        <v>#DIV/0!</v>
      </c>
      <c r="F30" s="2853" t="s">
        <v>2918</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2919</v>
      </c>
      <c r="C31" s="2858" t="s">
        <v>2920</v>
      </c>
      <c r="D31" s="2762"/>
      <c r="E31" s="2858"/>
      <c r="F31" s="2858"/>
      <c r="G31" s="2760" t="s">
        <v>2921</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0" t="s">
        <v>2912</v>
      </c>
      <c r="D32" s="497" t="s">
        <v>2913</v>
      </c>
      <c r="E32" s="497" t="s">
        <v>2914</v>
      </c>
      <c r="F32" s="387" t="s">
        <v>2922</v>
      </c>
      <c r="G32" s="2861" t="s">
        <v>2912</v>
      </c>
      <c r="H32" s="2861" t="s">
        <v>2913</v>
      </c>
      <c r="I32" s="2861" t="s">
        <v>2914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75" t="s">
        <v>2923</v>
      </c>
      <c r="B33" s="2862" t="s">
        <v>2924</v>
      </c>
      <c r="C33" s="205" t="e">
        <f>ROUND(D5*C19*C20*C24*F33,0)</f>
        <v>#DIV/0!</v>
      </c>
      <c r="D33" s="2846"/>
      <c r="E33" s="199" t="e">
        <f>ROUND(C33*D33/10000,0)</f>
        <v>#DIV/0!</v>
      </c>
      <c r="F33" s="199">
        <f>SUMIF(修正!A45:A56,G2,修正!B45:B56)</f>
        <v>0</v>
      </c>
      <c r="G33" s="199" t="e">
        <f t="shared" ref="G33" si="6">ROUND(IF(E2="工业",C33*$M$39,C33*$M$38),0)</f>
        <v>#DIV/0!</v>
      </c>
      <c r="H33" s="199">
        <f>D33</f>
        <v>0</v>
      </c>
      <c r="I33" s="199"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6"/>
      <c r="B34" s="2766" t="s">
        <v>2925</v>
      </c>
      <c r="C34" s="205" t="e">
        <f>ROUND(D5*C19*C20*C24*F34,0)</f>
        <v>#DIV/0!</v>
      </c>
      <c r="D34" s="2846"/>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6"/>
      <c r="B35" s="2766" t="s">
        <v>2926</v>
      </c>
      <c r="C35" s="205" t="e">
        <f>ROUND(D5*C19*C20*C24*F35,0)</f>
        <v>#DIV/0!</v>
      </c>
      <c r="D35" s="2846"/>
      <c r="E35" s="199" t="e">
        <f t="shared" si="7"/>
        <v>#DIV/0!</v>
      </c>
      <c r="F35" s="199">
        <f>SUMIF(修正!A45:A56,G2,修正!D45:D56)</f>
        <v>0</v>
      </c>
      <c r="G35" s="199" t="e">
        <f>ROUND(IF(E2="工业",C35*$M$39,C35*$M$38),0)</f>
        <v>#DIV/0!</v>
      </c>
      <c r="H35" s="199">
        <f t="shared" si="8"/>
        <v>0</v>
      </c>
      <c r="I35" s="199"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77"/>
      <c r="B36" s="2766" t="s">
        <v>2927</v>
      </c>
      <c r="C36" s="205" t="e">
        <f>ROUND(D5*C19*C20*C24*F36,0)</f>
        <v>#DIV/0!</v>
      </c>
      <c r="D36" s="2846"/>
      <c r="E36" s="199" t="e">
        <f t="shared" si="7"/>
        <v>#DIV/0!</v>
      </c>
      <c r="F36" s="199">
        <f>SUMIF(修正!A45:A56,G2,修正!E45:E56)</f>
        <v>0</v>
      </c>
      <c r="G36" s="199" t="e">
        <f>ROUND(IF(E2="工业",C36*$M$39,C36*$M$38),0)</f>
        <v>#DIV/0!</v>
      </c>
      <c r="H36" s="199">
        <f t="shared" si="8"/>
        <v>0</v>
      </c>
      <c r="I36" s="199"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2928</v>
      </c>
      <c r="C37" s="199" t="e">
        <f>ROUND(D5*C19*C20*C24*F37,0)</f>
        <v>#DIV/0!</v>
      </c>
      <c r="D37" s="2846"/>
      <c r="E37" s="199" t="e">
        <f t="shared" si="7"/>
        <v>#DIV/0!</v>
      </c>
      <c r="F37" s="205">
        <f>SUMIF(修正!A45:A56,G2,修正!F45:F56)</f>
        <v>0</v>
      </c>
      <c r="G37" s="199" t="e">
        <f>ROUND(IF(E2="工业",C37*$M$39,C37*$M$38),0)</f>
        <v>#DIV/0!</v>
      </c>
      <c r="H37" s="199">
        <f t="shared" si="8"/>
        <v>0</v>
      </c>
      <c r="I37" s="199" t="e">
        <f t="shared" si="9"/>
        <v>#DIV/0!</v>
      </c>
      <c r="J37" s="2863"/>
      <c r="K37" s="1372"/>
      <c r="L37" s="2865" t="s">
        <v>2929</v>
      </c>
      <c r="M37" s="2866"/>
      <c r="N37" s="1372"/>
      <c r="O37" s="1372"/>
      <c r="P37" s="1372"/>
      <c r="Q37" s="1372"/>
      <c r="R37" s="1372"/>
      <c r="S37" s="1372"/>
      <c r="T37" s="1372"/>
      <c r="U37" s="1372"/>
      <c r="V37" s="1372"/>
      <c r="W37" s="1372"/>
      <c r="X37" s="1372"/>
      <c r="Y37" s="1372"/>
      <c r="Z37" s="1373"/>
    </row>
    <row r="38" spans="1:37">
      <c r="A38" s="2864"/>
      <c r="B38" s="2766" t="s">
        <v>2930</v>
      </c>
      <c r="C38" s="199" t="e">
        <f>ROUND(D5*C19*C41*C24*F38,0)</f>
        <v>#DIV/0!</v>
      </c>
      <c r="D38" s="2846"/>
      <c r="E38" s="199" t="e">
        <f t="shared" si="7"/>
        <v>#DIV/0!</v>
      </c>
      <c r="F38" s="205">
        <f>SUMIF(修正!A45:A56,G2,修正!G45:G56)</f>
        <v>0</v>
      </c>
      <c r="G38" s="199" t="e">
        <f>ROUND(IF(E2="工业",C38*$M$39,C38*$M$38),0)</f>
        <v>#DIV/0!</v>
      </c>
      <c r="H38" s="199">
        <f t="shared" si="8"/>
        <v>0</v>
      </c>
      <c r="I38" s="199" t="e">
        <f t="shared" si="9"/>
        <v>#DIV/0!</v>
      </c>
      <c r="J38" s="2863"/>
      <c r="K38" s="1372"/>
      <c r="L38" s="1889" t="s">
        <v>2931</v>
      </c>
      <c r="M38" s="2867">
        <v>0.25</v>
      </c>
      <c r="N38" s="1372"/>
      <c r="O38" s="1372"/>
      <c r="P38" s="1372"/>
      <c r="Q38" s="1372"/>
      <c r="R38" s="1372"/>
      <c r="S38" s="1372"/>
      <c r="T38" s="1372"/>
      <c r="U38" s="1372"/>
      <c r="V38" s="1372"/>
      <c r="W38" s="1372"/>
      <c r="X38" s="1372"/>
      <c r="Y38" s="1372"/>
      <c r="Z38" s="1373"/>
    </row>
    <row r="39" spans="1:37" ht="13.5" thickBot="1">
      <c r="A39" s="2850"/>
      <c r="B39" s="2868" t="s">
        <v>2932</v>
      </c>
      <c r="C39" s="228" t="e">
        <f>ROUND(D5*C19*C41*C24*F39,0)</f>
        <v>#DIV/0!</v>
      </c>
      <c r="D39" s="2852"/>
      <c r="E39" s="228" t="e">
        <f t="shared" si="7"/>
        <v>#DIV/0!</v>
      </c>
      <c r="F39" s="934">
        <f>SUMIF(修正!A45:A56,G2,修正!H45:H56)</f>
        <v>0</v>
      </c>
      <c r="G39" s="228" t="e">
        <f>ROUND(IF(E2="工业",C39*$M$39,C39*$M$38),0)</f>
        <v>#DIV/0!</v>
      </c>
      <c r="H39" s="228">
        <f t="shared" si="8"/>
        <v>0</v>
      </c>
      <c r="I39" s="228" t="e">
        <f t="shared" si="9"/>
        <v>#DIV/0!</v>
      </c>
      <c r="J39" s="2869"/>
      <c r="K39" s="1372"/>
      <c r="L39" s="2870" t="s">
        <v>2873</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4" t="s">
        <v>3044</v>
      </c>
      <c r="C41" s="387" t="e">
        <f>ROUND(POWER(1+E41,H41-G41)*(POWER(1+E41,G41)-1)/(POWER(1+E41,H41)-1),4)</f>
        <v>#DIV/0!</v>
      </c>
      <c r="D41" s="199" t="s">
        <v>2881</v>
      </c>
      <c r="E41" s="2943">
        <f>G20</f>
        <v>0</v>
      </c>
      <c r="F41" s="199" t="s">
        <v>2891</v>
      </c>
      <c r="G41" s="217"/>
      <c r="H41" s="199">
        <v>50</v>
      </c>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2933</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2934</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2935</v>
      </c>
      <c r="B47" s="1811" t="s">
        <v>2936</v>
      </c>
      <c r="C47" s="1811" t="s">
        <v>2937</v>
      </c>
      <c r="D47" s="1811" t="s">
        <v>2938</v>
      </c>
      <c r="E47" s="818" t="s">
        <v>2939</v>
      </c>
      <c r="F47" s="2880" t="s">
        <v>2940</v>
      </c>
      <c r="G47" s="1811" t="s">
        <v>754</v>
      </c>
      <c r="H47" s="2881" t="s">
        <v>2941</v>
      </c>
      <c r="I47" s="1811" t="s">
        <v>2942</v>
      </c>
      <c r="J47" s="602" t="s">
        <v>2589</v>
      </c>
      <c r="K47" s="602" t="s">
        <v>2590</v>
      </c>
      <c r="L47" s="602" t="s">
        <v>2591</v>
      </c>
      <c r="M47" s="602" t="s">
        <v>2592</v>
      </c>
      <c r="N47" s="602" t="s">
        <v>2593</v>
      </c>
      <c r="AA47" s="1373"/>
      <c r="AB47" s="1373"/>
      <c r="AC47" s="1373"/>
      <c r="AD47" s="1373"/>
      <c r="AE47" s="1373"/>
      <c r="AF47" s="1373"/>
      <c r="AG47" s="1373"/>
      <c r="AH47" s="1373"/>
      <c r="AI47" s="1373"/>
      <c r="AJ47" s="1373"/>
      <c r="AK47" s="1373"/>
    </row>
    <row r="48" spans="1:37" s="1372" customFormat="1" ht="38.25">
      <c r="A48" s="2879" t="s">
        <v>2943</v>
      </c>
      <c r="B48" s="2882" t="str">
        <f>估价对象房地状况!C4</f>
        <v>估价对象位于XX商圈，周边商业氛围成熟，人流量大，商业繁华度好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2944</v>
      </c>
      <c r="B49" s="2883" t="str">
        <f>估价对象房地状况!C18</f>
        <v>估价对象周边道路状况、公共交通通达情况、停车便捷程度，综合评价交通便捷度较好</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2945</v>
      </c>
      <c r="B50" s="2883">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2946</v>
      </c>
      <c r="B51" s="2884" t="s">
        <v>2947</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2948</v>
      </c>
      <c r="B52" s="2883">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2949</v>
      </c>
      <c r="B53" s="2885" t="s">
        <v>2950</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2951</v>
      </c>
      <c r="B54" s="1727" t="str">
        <f>估价对象房地状况!C21</f>
        <v>估价对象所在区域公共配套设施齐备情况</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2952</v>
      </c>
      <c r="B55" s="2883" t="str">
        <f>估价对象房地状况!C22</f>
        <v>估价对象所在区域基础设施水平</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2953</v>
      </c>
      <c r="B56" s="2888" t="str">
        <f>估价对象房地状况!C20</f>
        <v>区域自然环境：；人文环境；综合评价环境状况一般</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2954</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2935</v>
      </c>
      <c r="B58" s="1811"/>
      <c r="C58" s="1811" t="s">
        <v>2937</v>
      </c>
      <c r="D58" s="1811" t="s">
        <v>2938</v>
      </c>
      <c r="E58" s="818" t="s">
        <v>2939</v>
      </c>
      <c r="F58" s="2880" t="s">
        <v>2955</v>
      </c>
      <c r="G58" s="1811" t="s">
        <v>754</v>
      </c>
      <c r="H58" s="2881" t="s">
        <v>2941</v>
      </c>
      <c r="I58" s="1811" t="s">
        <v>2942</v>
      </c>
      <c r="J58" s="602" t="s">
        <v>2589</v>
      </c>
      <c r="K58" s="602" t="s">
        <v>2590</v>
      </c>
      <c r="L58" s="602" t="s">
        <v>2591</v>
      </c>
      <c r="M58" s="602" t="s">
        <v>2592</v>
      </c>
      <c r="N58" s="602" t="s">
        <v>2593</v>
      </c>
      <c r="AA58" s="1373"/>
      <c r="AB58" s="1373"/>
      <c r="AC58" s="1373"/>
      <c r="AD58" s="1373"/>
      <c r="AE58" s="1373"/>
      <c r="AF58" s="1373"/>
      <c r="AG58" s="1373"/>
      <c r="AH58" s="1373"/>
      <c r="AI58" s="1373"/>
      <c r="AJ58" s="1373"/>
      <c r="AK58" s="1373"/>
    </row>
    <row r="59" spans="1:37" s="1372" customFormat="1" ht="38.25">
      <c r="A59" s="2879" t="s">
        <v>2956</v>
      </c>
      <c r="B59" s="2882" t="str">
        <f>估价对象房地状况!C17</f>
        <v>估价对象位于XX商圈，周边办公楼项目较多，入驻率高，办公集聚程度较好</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2944</v>
      </c>
      <c r="B60" s="2883" t="str">
        <f>估价对象房地状况!C18</f>
        <v>估价对象周边道路状况、公共交通通达情况、停车便捷程度，综合评价交通便捷度较好</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2945</v>
      </c>
      <c r="B61" s="2883">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2946</v>
      </c>
      <c r="B62" s="2884" t="s">
        <v>2947</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2948</v>
      </c>
      <c r="B63" s="2883">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2949</v>
      </c>
      <c r="B64" s="2885" t="s">
        <v>2950</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2951</v>
      </c>
      <c r="B65" s="1727" t="str">
        <f>估价对象房地状况!C21</f>
        <v>估价对象所在区域公共配套设施齐备情况</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2952</v>
      </c>
      <c r="B66" s="1727" t="str">
        <f>估价对象房地状况!C22</f>
        <v>估价对象所在区域基础设施水平</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2953</v>
      </c>
      <c r="B67" s="2889" t="str">
        <f>估价对象房地状况!C20</f>
        <v>区域自然环境：；人文环境；综合评价环境状况一般</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2957</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2935</v>
      </c>
      <c r="B69" s="1811"/>
      <c r="C69" s="1811" t="s">
        <v>2937</v>
      </c>
      <c r="D69" s="1811" t="s">
        <v>2938</v>
      </c>
      <c r="E69" s="818" t="s">
        <v>2939</v>
      </c>
      <c r="F69" s="2880" t="s">
        <v>2955</v>
      </c>
      <c r="G69" s="1811" t="s">
        <v>754</v>
      </c>
      <c r="H69" s="2881" t="s">
        <v>2941</v>
      </c>
      <c r="I69" s="1811" t="s">
        <v>2942</v>
      </c>
      <c r="J69" s="602" t="s">
        <v>2589</v>
      </c>
      <c r="K69" s="602" t="s">
        <v>2590</v>
      </c>
      <c r="L69" s="602" t="s">
        <v>2591</v>
      </c>
      <c r="M69" s="602" t="s">
        <v>2592</v>
      </c>
      <c r="N69" s="602" t="s">
        <v>2593</v>
      </c>
      <c r="AA69" s="1373"/>
      <c r="AB69" s="1373"/>
      <c r="AC69" s="1373"/>
      <c r="AD69" s="1373"/>
      <c r="AE69" s="1373"/>
      <c r="AF69" s="1373"/>
      <c r="AG69" s="1373"/>
      <c r="AH69" s="1373"/>
      <c r="AI69" s="1373"/>
      <c r="AJ69" s="1373"/>
      <c r="AK69" s="1373"/>
    </row>
    <row r="70" spans="1:37" s="1372" customFormat="1" ht="51">
      <c r="A70" s="2879" t="s">
        <v>2958</v>
      </c>
      <c r="B70" s="2882" t="str">
        <f>估价对象房地状况!C15</f>
        <v>估价对象周边居住用地比例、居住小区规模和社区发展完善程度，综合评价居住社区成熟度一般</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2944</v>
      </c>
      <c r="B71" s="2883" t="str">
        <f>估价对象房地状况!C18</f>
        <v>估价对象周边道路状况、公共交通通达情况、停车便捷程度，综合评价交通便捷度较好</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2945</v>
      </c>
      <c r="B72" s="2883">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2959</v>
      </c>
      <c r="B73" s="2883">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2951</v>
      </c>
      <c r="B74" s="1727" t="str">
        <f>估价对象房地状况!C21</f>
        <v>估价对象所在区域公共配套设施齐备情况</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2952</v>
      </c>
      <c r="B75" s="1727" t="str">
        <f>估价对象房地状况!C22</f>
        <v>估价对象所在区域基础设施水平</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2949</v>
      </c>
      <c r="B76" s="2885" t="s">
        <v>2950</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2953</v>
      </c>
      <c r="B77" s="2882" t="str">
        <f>估价对象房地状况!C20</f>
        <v>区域自然环境：；人文环境；综合评价环境状况一般</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2960</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2961</v>
      </c>
      <c r="B79" s="2876">
        <f>1+E81</f>
        <v>1</v>
      </c>
      <c r="C79" s="813"/>
      <c r="D79" s="813"/>
      <c r="E79" s="814"/>
      <c r="F79" s="2878"/>
      <c r="G79" s="6"/>
      <c r="H79" s="6"/>
      <c r="I79" s="6"/>
      <c r="J79" s="7"/>
      <c r="K79" s="7"/>
      <c r="L79" s="7"/>
      <c r="M79" s="7"/>
      <c r="N79" s="7"/>
      <c r="Z79" s="2721"/>
      <c r="AA79" s="2797"/>
      <c r="AG79" s="1374"/>
      <c r="AK79" s="2797"/>
    </row>
    <row r="80" spans="1:37" ht="24.75">
      <c r="A80" s="2879" t="s">
        <v>2935</v>
      </c>
      <c r="B80" s="1811"/>
      <c r="C80" s="1811" t="s">
        <v>2937</v>
      </c>
      <c r="D80" s="1811" t="s">
        <v>2938</v>
      </c>
      <c r="E80" s="818" t="s">
        <v>2939</v>
      </c>
      <c r="F80" s="2880" t="s">
        <v>2955</v>
      </c>
      <c r="G80" s="1811" t="s">
        <v>754</v>
      </c>
      <c r="H80" s="2881" t="s">
        <v>2941</v>
      </c>
      <c r="I80" s="1811" t="s">
        <v>2942</v>
      </c>
      <c r="J80" s="602" t="s">
        <v>2589</v>
      </c>
      <c r="K80" s="602" t="s">
        <v>2590</v>
      </c>
      <c r="L80" s="602" t="s">
        <v>2591</v>
      </c>
      <c r="M80" s="602" t="s">
        <v>2592</v>
      </c>
      <c r="N80" s="602" t="s">
        <v>2593</v>
      </c>
      <c r="Z80" s="2721"/>
      <c r="AA80" s="2797"/>
      <c r="AG80" s="1374"/>
      <c r="AK80" s="2797"/>
    </row>
    <row r="81" spans="1:37" ht="24">
      <c r="A81" s="2879" t="s">
        <v>2962</v>
      </c>
      <c r="B81" s="2883" t="str">
        <f>估价对象房地状况!G15</f>
        <v>较好</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14.25">
      <c r="A82" s="2879" t="s">
        <v>2944</v>
      </c>
      <c r="B82" s="2883" t="str">
        <f>估价对象房地状况!G16</f>
        <v>一般</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4">
      <c r="A83" s="2879" t="s">
        <v>2945</v>
      </c>
      <c r="B83" s="2883">
        <f>估价对象房地状况!G17</f>
        <v>0</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2959</v>
      </c>
      <c r="B84" s="2883">
        <f>估价对象房地状况!G22</f>
        <v>0</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24">
      <c r="A85" s="2879" t="s">
        <v>2951</v>
      </c>
      <c r="B85" s="1727" t="str">
        <f>估价对象房地状况!G19</f>
        <v>一般</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4">
      <c r="A86" s="2879" t="s">
        <v>2952</v>
      </c>
      <c r="B86" s="1727" t="str">
        <f>估价对象房地状况!G20</f>
        <v>五通</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2949</v>
      </c>
      <c r="B87" s="2885" t="s">
        <v>2963</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15" thickBot="1">
      <c r="A88" s="2887" t="s">
        <v>2964</v>
      </c>
      <c r="B88" s="2892" t="str">
        <f>估价对象房地状况!G18</f>
        <v>一般</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69" t="s">
        <v>2965</v>
      </c>
      <c r="B90" s="3269"/>
      <c r="C90" s="3269"/>
      <c r="D90" s="3269"/>
      <c r="E90" s="3269"/>
      <c r="F90" s="3269"/>
      <c r="G90" s="3269"/>
      <c r="H90" s="3269"/>
      <c r="I90" s="3269"/>
      <c r="J90" s="3269"/>
      <c r="K90" s="2893"/>
      <c r="L90" s="2893"/>
      <c r="M90" s="2893"/>
      <c r="N90" s="2893"/>
    </row>
    <row r="91" spans="1:37">
      <c r="A91" s="3271" t="s">
        <v>2966</v>
      </c>
      <c r="B91" s="3271" t="s">
        <v>2967</v>
      </c>
      <c r="C91" s="2847" t="s">
        <v>2968</v>
      </c>
      <c r="D91" s="2848"/>
      <c r="E91" s="2848"/>
      <c r="F91" s="2848"/>
      <c r="G91" s="2848"/>
      <c r="H91" s="2848"/>
      <c r="I91" s="2848"/>
      <c r="J91" s="2894"/>
      <c r="K91" s="2895"/>
      <c r="L91" s="2895"/>
      <c r="M91" s="2895"/>
      <c r="N91" s="2895"/>
    </row>
    <row r="92" spans="1:37">
      <c r="A92" s="3271"/>
      <c r="B92" s="3271"/>
      <c r="C92" s="944" t="s">
        <v>2832</v>
      </c>
      <c r="D92" s="944" t="s">
        <v>2833</v>
      </c>
      <c r="E92" s="944" t="s">
        <v>2834</v>
      </c>
      <c r="F92" s="944" t="s">
        <v>2835</v>
      </c>
      <c r="G92" s="944" t="s">
        <v>2836</v>
      </c>
      <c r="H92" s="944" t="s">
        <v>2837</v>
      </c>
      <c r="I92" s="944" t="s">
        <v>2838</v>
      </c>
      <c r="J92" s="944" t="s">
        <v>2839</v>
      </c>
      <c r="K92" s="944" t="s">
        <v>2840</v>
      </c>
      <c r="L92" s="944" t="s">
        <v>2841</v>
      </c>
      <c r="M92" s="944" t="s">
        <v>2842</v>
      </c>
      <c r="N92" s="944" t="s">
        <v>2843</v>
      </c>
    </row>
    <row r="93" spans="1:37">
      <c r="A93" s="3272" t="s">
        <v>2969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7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7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7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7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7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73"/>
      <c r="B99" s="2896" t="s">
        <v>2848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7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72" t="s">
        <v>2970</v>
      </c>
      <c r="B101" s="2900" t="s">
        <v>2971</v>
      </c>
      <c r="C101" s="2901">
        <f>$G$3</f>
        <v>0.7</v>
      </c>
      <c r="D101" s="2901">
        <f t="shared" ref="D101:N101" si="31">$G$3</f>
        <v>0.7</v>
      </c>
      <c r="E101" s="2901">
        <f t="shared" si="31"/>
        <v>0.7</v>
      </c>
      <c r="F101" s="2901">
        <f t="shared" si="31"/>
        <v>0.7</v>
      </c>
      <c r="G101" s="2901">
        <f t="shared" si="31"/>
        <v>0.7</v>
      </c>
      <c r="H101" s="2901">
        <f t="shared" si="31"/>
        <v>0.7</v>
      </c>
      <c r="I101" s="2901">
        <f t="shared" si="31"/>
        <v>0.7</v>
      </c>
      <c r="J101" s="2901">
        <f t="shared" si="31"/>
        <v>0.7</v>
      </c>
      <c r="K101" s="2901">
        <f t="shared" si="31"/>
        <v>0.7</v>
      </c>
      <c r="L101" s="2901">
        <f t="shared" si="31"/>
        <v>0.7</v>
      </c>
      <c r="M101" s="2901">
        <f t="shared" si="31"/>
        <v>0.7</v>
      </c>
      <c r="N101" s="2901">
        <f t="shared" si="31"/>
        <v>0.7</v>
      </c>
    </row>
    <row r="102" spans="1:14">
      <c r="A102" s="3273"/>
      <c r="B102" s="2896">
        <v>1</v>
      </c>
      <c r="C102" s="2897">
        <f>1.9362/C101</f>
        <v>2.766</v>
      </c>
      <c r="D102" s="2897">
        <f>1.9362/D101</f>
        <v>2.766</v>
      </c>
      <c r="E102" s="2897">
        <f>1.8629/E101</f>
        <v>2.6612857142857145</v>
      </c>
      <c r="F102" s="2897">
        <f>1.8629/F101</f>
        <v>2.6612857142857145</v>
      </c>
      <c r="G102" s="2897">
        <f>1.8629/G101</f>
        <v>2.6612857142857145</v>
      </c>
      <c r="H102" s="2897">
        <f>1.8629/H101</f>
        <v>2.6612857142857145</v>
      </c>
      <c r="I102" s="2897">
        <f>1.8629/I101</f>
        <v>2.6612857142857145</v>
      </c>
      <c r="J102" s="2897">
        <f>1.942/J101</f>
        <v>2.7742857142857145</v>
      </c>
      <c r="K102" s="2897">
        <f>1.942/K101</f>
        <v>2.7742857142857145</v>
      </c>
      <c r="L102" s="2897">
        <f>1.942/L101</f>
        <v>2.7742857142857145</v>
      </c>
      <c r="M102" s="2897">
        <f>1.942/M101</f>
        <v>2.7742857142857145</v>
      </c>
      <c r="N102" s="2897">
        <f>1.942/N101</f>
        <v>2.7742857142857145</v>
      </c>
    </row>
    <row r="103" spans="1:14">
      <c r="A103" s="3273"/>
      <c r="B103" s="2896">
        <v>2</v>
      </c>
      <c r="C103" s="2897">
        <f>1.4198/C101</f>
        <v>2.0282857142857145</v>
      </c>
      <c r="D103" s="2897">
        <f>1.4198/D101</f>
        <v>2.0282857142857145</v>
      </c>
      <c r="E103" s="2897">
        <f>1.3372/E101</f>
        <v>1.9102857142857144</v>
      </c>
      <c r="F103" s="2897">
        <f>1.3372/F101</f>
        <v>1.9102857142857144</v>
      </c>
      <c r="G103" s="2897">
        <f>1.3372/G101</f>
        <v>1.9102857142857144</v>
      </c>
      <c r="H103" s="2897">
        <f>1.3372/H101</f>
        <v>1.9102857142857144</v>
      </c>
      <c r="I103" s="2897">
        <f>1.3372/I101</f>
        <v>1.9102857142857144</v>
      </c>
      <c r="J103" s="2897">
        <f>1.2799/J101</f>
        <v>1.8284285714285715</v>
      </c>
      <c r="K103" s="2897">
        <f>1.2799/K101</f>
        <v>1.8284285714285715</v>
      </c>
      <c r="L103" s="2897">
        <f>1.2799/L101</f>
        <v>1.8284285714285715</v>
      </c>
      <c r="M103" s="2897">
        <f>1.2799/M101</f>
        <v>1.8284285714285715</v>
      </c>
      <c r="N103" s="2897">
        <f>1.2799/N101</f>
        <v>1.8284285714285715</v>
      </c>
    </row>
    <row r="104" spans="1:14">
      <c r="A104" s="3273"/>
      <c r="B104" s="2896">
        <v>3</v>
      </c>
      <c r="C104" s="2897">
        <f>1.1594/C101</f>
        <v>1.6562857142857144</v>
      </c>
      <c r="D104" s="2897">
        <f>1.1594/D101</f>
        <v>1.6562857142857144</v>
      </c>
      <c r="E104" s="2897">
        <f>1.0788/E101</f>
        <v>1.5411428571428571</v>
      </c>
      <c r="F104" s="2897">
        <f>1.0788/F101</f>
        <v>1.5411428571428571</v>
      </c>
      <c r="G104" s="2897">
        <f>1.0788/G101</f>
        <v>1.5411428571428571</v>
      </c>
      <c r="H104" s="2897">
        <f>1.0788/H101</f>
        <v>1.5411428571428571</v>
      </c>
      <c r="I104" s="2897">
        <f>1.0788/I101</f>
        <v>1.5411428571428571</v>
      </c>
      <c r="J104" s="2897">
        <f>1.0072/J101</f>
        <v>1.4388571428571431</v>
      </c>
      <c r="K104" s="2897">
        <f>1.0072/K101</f>
        <v>1.4388571428571431</v>
      </c>
      <c r="L104" s="2897">
        <f>1.0072/L101</f>
        <v>1.4388571428571431</v>
      </c>
      <c r="M104" s="2897">
        <f>1.0072/M101</f>
        <v>1.4388571428571431</v>
      </c>
      <c r="N104" s="2897">
        <f>1.0072/N101</f>
        <v>1.4388571428571431</v>
      </c>
    </row>
    <row r="105" spans="1:14">
      <c r="A105" s="3273"/>
      <c r="B105" s="2896">
        <v>4</v>
      </c>
      <c r="C105" s="2897">
        <f>0.9622/C101</f>
        <v>1.3745714285714288</v>
      </c>
      <c r="D105" s="2897">
        <f>0.9622/D101</f>
        <v>1.3745714285714288</v>
      </c>
      <c r="E105" s="2897">
        <f>0.8656/E101</f>
        <v>1.2365714285714287</v>
      </c>
      <c r="F105" s="2897">
        <f>0.8656/F101</f>
        <v>1.2365714285714287</v>
      </c>
      <c r="G105" s="2897">
        <f>0.8656/G101</f>
        <v>1.2365714285714287</v>
      </c>
      <c r="H105" s="2897">
        <f>0.8656/H101</f>
        <v>1.2365714285714287</v>
      </c>
      <c r="I105" s="2897">
        <f>0.8656/I101</f>
        <v>1.2365714285714287</v>
      </c>
      <c r="J105" s="2897">
        <f>0.7525/J101</f>
        <v>1.075</v>
      </c>
      <c r="K105" s="2897">
        <f>0.7525/K101</f>
        <v>1.075</v>
      </c>
      <c r="L105" s="2897">
        <f>0.7525/L101</f>
        <v>1.075</v>
      </c>
      <c r="M105" s="2897">
        <f>0.7525/M101</f>
        <v>1.075</v>
      </c>
      <c r="N105" s="2897">
        <f>0.7525/N101</f>
        <v>1.075</v>
      </c>
    </row>
    <row r="106" spans="1:14">
      <c r="A106" s="3273"/>
      <c r="B106" s="2896">
        <v>5</v>
      </c>
      <c r="C106" s="2897">
        <f>0.8417/C101</f>
        <v>1.2024285714285714</v>
      </c>
      <c r="D106" s="2897">
        <f>0.8417/D101</f>
        <v>1.2024285714285714</v>
      </c>
      <c r="E106" s="2897">
        <f>0.7371/E101</f>
        <v>1.0529999999999999</v>
      </c>
      <c r="F106" s="2897">
        <f>0.7371/F101</f>
        <v>1.0529999999999999</v>
      </c>
      <c r="G106" s="2897">
        <f>0.7371/G101</f>
        <v>1.0529999999999999</v>
      </c>
      <c r="H106" s="2897">
        <f>0.7371/H101</f>
        <v>1.0529999999999999</v>
      </c>
      <c r="I106" s="2897">
        <f>0.7371/I101</f>
        <v>1.0529999999999999</v>
      </c>
      <c r="J106" s="2897">
        <f>0.5659/J101</f>
        <v>0.80842857142857139</v>
      </c>
      <c r="K106" s="2897">
        <f>0.5659/K101</f>
        <v>0.80842857142857139</v>
      </c>
      <c r="L106" s="2897">
        <f>0.5659/L101</f>
        <v>0.80842857142857139</v>
      </c>
      <c r="M106" s="2897">
        <f>0.5659/M101</f>
        <v>0.80842857142857139</v>
      </c>
      <c r="N106" s="2897">
        <f>0.5659/N101</f>
        <v>0.80842857142857139</v>
      </c>
    </row>
    <row r="107" spans="1:14">
      <c r="A107" s="3273"/>
      <c r="B107" s="2896">
        <v>6</v>
      </c>
      <c r="C107" s="2897">
        <f>0.7608/C101</f>
        <v>1.086857142857143</v>
      </c>
      <c r="D107" s="2897">
        <f>0.7608/D101</f>
        <v>1.086857142857143</v>
      </c>
      <c r="E107" s="2897">
        <f>0.6482/E101</f>
        <v>0.92600000000000005</v>
      </c>
      <c r="F107" s="2897">
        <f>0.6482/F101</f>
        <v>0.92600000000000005</v>
      </c>
      <c r="G107" s="2897">
        <f>0.6482/G101</f>
        <v>0.92600000000000005</v>
      </c>
      <c r="H107" s="2897">
        <f>0.6482/H101</f>
        <v>0.92600000000000005</v>
      </c>
      <c r="I107" s="2897">
        <f>0.6482/I101</f>
        <v>0.92600000000000005</v>
      </c>
      <c r="J107" s="2897">
        <f>0.4525/J101</f>
        <v>0.64642857142857146</v>
      </c>
      <c r="K107" s="2897">
        <f>0.4525/K101</f>
        <v>0.64642857142857146</v>
      </c>
      <c r="L107" s="2897">
        <f>0.4525/L101</f>
        <v>0.64642857142857146</v>
      </c>
      <c r="M107" s="2897">
        <f>0.4525/M101</f>
        <v>0.64642857142857146</v>
      </c>
      <c r="N107" s="2897">
        <f>0.4525/N101</f>
        <v>0.64642857142857146</v>
      </c>
    </row>
    <row r="108" spans="1:14">
      <c r="A108" s="3273"/>
      <c r="B108" s="3130" t="s">
        <v>2972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74"/>
      <c r="B109" s="3131"/>
      <c r="C109" s="2899">
        <f>(-0.163*(C108^2)-0.59*C108+7617)*(10^(-4))/C101</f>
        <v>1.0881428571428573</v>
      </c>
      <c r="D109" s="2899">
        <f>(-0.163*(D108^2)-0.59*D108+7617)*(10^(-4))/D101</f>
        <v>1.0881428571428573</v>
      </c>
      <c r="E109" s="2899">
        <f>(-0.161*(E108^2)-7.509*E108+6533)*(10^(-4))/E101</f>
        <v>0.93328571428571439</v>
      </c>
      <c r="F109" s="2899">
        <f>(-0.161*(F108^2)-7.509*F108+6533)*(10^(-4))/F101</f>
        <v>0.93328571428571439</v>
      </c>
      <c r="G109" s="2899">
        <f>(-0.161*(G108^2)-7.509*G108+6533)*(10^(-4))/G101</f>
        <v>0.93328571428571439</v>
      </c>
      <c r="H109" s="2899">
        <f>(-0.161*(H108^2)-7.509*H108+6533)*(10^(-4))/H101</f>
        <v>0.93328571428571439</v>
      </c>
      <c r="I109" s="2899">
        <f>(-0.161*(I108^2)-7.509*I108+6533)*(10^(-4))/I101</f>
        <v>0.93328571428571439</v>
      </c>
      <c r="J109" s="2899">
        <f>(-0.214*(J108^2)-21.991*J108+4665)*(10^(-4))/J101</f>
        <v>0.66642857142857148</v>
      </c>
      <c r="K109" s="2899">
        <f>(-0.214*(K108^2)-21.991*K108+4665)*(10^(-4))/K101</f>
        <v>0.66642857142857148</v>
      </c>
      <c r="L109" s="2899">
        <f>(-0.214*(L108^2)-21.991*L108+4665)*(10^(-4))/L101</f>
        <v>0.66642857142857148</v>
      </c>
      <c r="M109" s="2899">
        <f>(-0.214*(M108^2)-21.991*M108+4665)*(10^(-4))/M101</f>
        <v>0.66642857142857148</v>
      </c>
      <c r="N109" s="2899">
        <f>(-0.214*(N108^2)-21.991*N108+4665)*(10^(-4))/N101</f>
        <v>0.66642857142857148</v>
      </c>
    </row>
    <row r="110" spans="1:14">
      <c r="A110" s="3270" t="s">
        <v>2973</v>
      </c>
      <c r="B110" s="3270"/>
      <c r="C110" s="3270"/>
      <c r="D110" s="3270"/>
      <c r="E110" s="3270"/>
      <c r="F110" s="3270"/>
      <c r="G110" s="3270"/>
      <c r="H110" s="3270"/>
      <c r="I110" s="3270"/>
      <c r="J110" s="3270"/>
      <c r="K110" s="2902"/>
      <c r="L110" s="2902"/>
      <c r="M110" s="2902"/>
      <c r="N110" s="2902"/>
    </row>
    <row r="112" spans="1:14" ht="13.5" thickBot="1"/>
    <row r="113" spans="1:13" ht="25.5" thickBot="1">
      <c r="A113" s="902" t="s">
        <v>2974</v>
      </c>
      <c r="B113" s="1289">
        <f>G3</f>
        <v>0.7</v>
      </c>
      <c r="C113" s="903" t="s">
        <v>2975</v>
      </c>
      <c r="D113" s="904">
        <f>SUMPRODUCT((A115:A118=F113)*(B114:M114=H113)*B115:M118)</f>
        <v>0</v>
      </c>
      <c r="E113" s="2725" t="s">
        <v>2805</v>
      </c>
      <c r="F113" s="2904">
        <f>E2</f>
        <v>0</v>
      </c>
      <c r="G113" s="2725" t="s">
        <v>2806</v>
      </c>
      <c r="H113" s="2904">
        <f>G2</f>
        <v>0</v>
      </c>
      <c r="I113" s="2725"/>
      <c r="J113" s="2905"/>
      <c r="K113" s="2905"/>
      <c r="L113" s="2905"/>
      <c r="M113" s="2905"/>
    </row>
    <row r="114" spans="1:13">
      <c r="A114" s="907"/>
      <c r="B114" s="2906" t="s">
        <v>2976</v>
      </c>
      <c r="C114" s="2906" t="s">
        <v>2977</v>
      </c>
      <c r="D114" s="2906" t="s">
        <v>2978</v>
      </c>
      <c r="E114" s="2907" t="s">
        <v>2979</v>
      </c>
      <c r="F114" s="2907" t="s">
        <v>2980</v>
      </c>
      <c r="G114" s="2907" t="s">
        <v>2981</v>
      </c>
      <c r="H114" s="2908" t="s">
        <v>2982</v>
      </c>
      <c r="I114" s="2908" t="s">
        <v>2983</v>
      </c>
      <c r="J114" s="2909" t="s">
        <v>2984</v>
      </c>
      <c r="K114" s="2909" t="s">
        <v>2985</v>
      </c>
      <c r="L114" s="2909" t="s">
        <v>2986</v>
      </c>
      <c r="M114" s="2910" t="s">
        <v>2987</v>
      </c>
    </row>
    <row r="115" spans="1:13">
      <c r="A115" s="908" t="s">
        <v>2870</v>
      </c>
      <c r="B115" s="909">
        <f>ROUND(0.9335-0.0094*B113,4)</f>
        <v>0.92689999999999995</v>
      </c>
      <c r="C115" s="909">
        <f>B115</f>
        <v>0.92689999999999995</v>
      </c>
      <c r="D115" s="909">
        <f>ROUND(0.8331-0.0109*B113,4)</f>
        <v>0.82550000000000001</v>
      </c>
      <c r="E115" s="909">
        <f>D115</f>
        <v>0.82550000000000001</v>
      </c>
      <c r="F115" s="909">
        <f>E115</f>
        <v>0.82550000000000001</v>
      </c>
      <c r="G115" s="909">
        <f>F115</f>
        <v>0.82550000000000001</v>
      </c>
      <c r="H115" s="909">
        <f>G115</f>
        <v>0.82550000000000001</v>
      </c>
      <c r="I115" s="909">
        <f>ROUND(0.689-0.0155*B113,4)</f>
        <v>0.67820000000000003</v>
      </c>
      <c r="J115" s="909">
        <f t="shared" ref="J115:M118" si="33">I115</f>
        <v>0.67820000000000003</v>
      </c>
      <c r="K115" s="909">
        <f t="shared" si="33"/>
        <v>0.67820000000000003</v>
      </c>
      <c r="L115" s="909">
        <f t="shared" si="33"/>
        <v>0.67820000000000003</v>
      </c>
      <c r="M115" s="910">
        <f t="shared" si="33"/>
        <v>0.67820000000000003</v>
      </c>
    </row>
    <row r="116" spans="1:13">
      <c r="A116" s="908" t="s">
        <v>2871</v>
      </c>
      <c r="B116" s="909">
        <f>ROUND(0.949-0.012*B113,4)</f>
        <v>0.94059999999999999</v>
      </c>
      <c r="C116" s="909">
        <f>B116</f>
        <v>0.94059999999999999</v>
      </c>
      <c r="D116" s="909">
        <f>ROUND(0.8567-0.013*B113,4)</f>
        <v>0.84760000000000002</v>
      </c>
      <c r="E116" s="909">
        <f t="shared" ref="E116:H117" si="34">D116</f>
        <v>0.84760000000000002</v>
      </c>
      <c r="F116" s="909">
        <f t="shared" si="34"/>
        <v>0.84760000000000002</v>
      </c>
      <c r="G116" s="909">
        <f t="shared" si="34"/>
        <v>0.84760000000000002</v>
      </c>
      <c r="H116" s="909">
        <f t="shared" si="34"/>
        <v>0.84760000000000002</v>
      </c>
      <c r="I116" s="909">
        <f>ROUND(0.7694-0.014*B113,4)</f>
        <v>0.75960000000000005</v>
      </c>
      <c r="J116" s="909">
        <f t="shared" si="33"/>
        <v>0.75960000000000005</v>
      </c>
      <c r="K116" s="909">
        <f t="shared" si="33"/>
        <v>0.75960000000000005</v>
      </c>
      <c r="L116" s="909">
        <f t="shared" si="33"/>
        <v>0.75960000000000005</v>
      </c>
      <c r="M116" s="910">
        <f t="shared" si="33"/>
        <v>0.75960000000000005</v>
      </c>
    </row>
    <row r="117" spans="1:13">
      <c r="A117" s="908" t="s">
        <v>2872</v>
      </c>
      <c r="B117" s="909">
        <f>ROUND(0.8808-0.006*B113,4)</f>
        <v>0.87660000000000005</v>
      </c>
      <c r="C117" s="909">
        <f>B117</f>
        <v>0.87660000000000005</v>
      </c>
      <c r="D117" s="909">
        <f>ROUND(0.8748-0.008*B113,4)</f>
        <v>0.86919999999999997</v>
      </c>
      <c r="E117" s="909">
        <f t="shared" si="34"/>
        <v>0.86919999999999997</v>
      </c>
      <c r="F117" s="909">
        <f t="shared" si="34"/>
        <v>0.86919999999999997</v>
      </c>
      <c r="G117" s="909">
        <f t="shared" si="34"/>
        <v>0.86919999999999997</v>
      </c>
      <c r="H117" s="909">
        <f t="shared" si="34"/>
        <v>0.86919999999999997</v>
      </c>
      <c r="I117" s="909">
        <f>ROUND(0.7412-0.0095*B113,4)</f>
        <v>0.73460000000000003</v>
      </c>
      <c r="J117" s="909">
        <f t="shared" si="33"/>
        <v>0.73460000000000003</v>
      </c>
      <c r="K117" s="909">
        <f t="shared" si="33"/>
        <v>0.73460000000000003</v>
      </c>
      <c r="L117" s="909">
        <f t="shared" si="33"/>
        <v>0.73460000000000003</v>
      </c>
      <c r="M117" s="910">
        <f t="shared" si="33"/>
        <v>0.73460000000000003</v>
      </c>
    </row>
    <row r="118" spans="1:13" ht="13.5" thickBot="1">
      <c r="A118" s="713" t="s">
        <v>2873</v>
      </c>
      <c r="B118" s="911">
        <f>ROUND(0.7275-0.01*B113,4)</f>
        <v>0.72050000000000003</v>
      </c>
      <c r="C118" s="911">
        <f>B118</f>
        <v>0.72050000000000003</v>
      </c>
      <c r="D118" s="911">
        <f>ROUND(0.7043-0.012*B113,4)</f>
        <v>0.69589999999999996</v>
      </c>
      <c r="E118" s="911">
        <f>D118</f>
        <v>0.69589999999999996</v>
      </c>
      <c r="F118" s="911">
        <f>E118</f>
        <v>0.69589999999999996</v>
      </c>
      <c r="G118" s="911">
        <f>ROUND(0.6299-0.0122*B113,4)</f>
        <v>0.62139999999999995</v>
      </c>
      <c r="H118" s="911">
        <f>G118</f>
        <v>0.62139999999999995</v>
      </c>
      <c r="I118" s="911">
        <f>ROUND(0.5667-0.0136*B113,4)</f>
        <v>0.55720000000000003</v>
      </c>
      <c r="J118" s="911">
        <f t="shared" si="33"/>
        <v>0.55720000000000003</v>
      </c>
      <c r="K118" s="911">
        <f t="shared" si="33"/>
        <v>0.55720000000000003</v>
      </c>
      <c r="L118" s="911">
        <f t="shared" si="33"/>
        <v>0.55720000000000003</v>
      </c>
      <c r="M118" s="912">
        <f t="shared" si="33"/>
        <v>0.55720000000000003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8" t="s">
        <v>183</v>
      </c>
      <c r="B18" s="881" t="s">
        <v>560</v>
      </c>
      <c r="C18" s="882" t="s">
        <v>561</v>
      </c>
      <c r="D18" s="883"/>
      <c r="E18" s="881">
        <v>1</v>
      </c>
      <c r="F18" s="884" t="s">
        <v>562</v>
      </c>
      <c r="G18" s="885"/>
      <c r="H18" s="877"/>
      <c r="I18" s="877"/>
    </row>
    <row r="19" spans="1:9" s="886" customFormat="1" ht="19.5" customHeight="1">
      <c r="A19" s="3278"/>
      <c r="B19" s="3278" t="s">
        <v>563</v>
      </c>
      <c r="C19" s="882" t="s">
        <v>564</v>
      </c>
      <c r="D19" s="883"/>
      <c r="E19" s="881">
        <v>0.9</v>
      </c>
      <c r="F19" s="884" t="s">
        <v>565</v>
      </c>
      <c r="G19" s="885"/>
      <c r="H19" s="877"/>
      <c r="I19" s="877"/>
    </row>
    <row r="20" spans="1:9" s="886" customFormat="1" ht="19.5" customHeight="1">
      <c r="A20" s="3278"/>
      <c r="B20" s="3278"/>
      <c r="C20" s="882" t="s">
        <v>566</v>
      </c>
      <c r="D20" s="883"/>
      <c r="E20" s="881">
        <v>1.1000000000000001</v>
      </c>
      <c r="F20" s="884" t="s">
        <v>567</v>
      </c>
      <c r="G20" s="885"/>
      <c r="H20" s="877"/>
      <c r="I20" s="877"/>
    </row>
    <row r="21" spans="1:9" s="886" customFormat="1" ht="19.5" customHeight="1">
      <c r="A21" s="3278"/>
      <c r="B21" s="3278"/>
      <c r="C21" s="882" t="s">
        <v>568</v>
      </c>
      <c r="D21" s="883"/>
      <c r="E21" s="881">
        <v>0.8</v>
      </c>
      <c r="F21" s="884" t="s">
        <v>569</v>
      </c>
      <c r="G21" s="885"/>
      <c r="H21" s="877"/>
      <c r="I21" s="877"/>
    </row>
    <row r="22" spans="1:9" s="886" customFormat="1" ht="19.5" customHeight="1">
      <c r="A22" s="3278"/>
      <c r="B22" s="3278"/>
      <c r="C22" s="882" t="s">
        <v>570</v>
      </c>
      <c r="D22" s="883"/>
      <c r="E22" s="881">
        <v>0.5</v>
      </c>
      <c r="F22" s="884"/>
      <c r="G22" s="885"/>
      <c r="H22" s="877"/>
      <c r="I22" s="877"/>
    </row>
    <row r="23" spans="1:9" s="886" customFormat="1" ht="19.5" customHeight="1">
      <c r="A23" s="3278" t="s">
        <v>184</v>
      </c>
      <c r="B23" s="881" t="s">
        <v>560</v>
      </c>
      <c r="C23" s="882" t="s">
        <v>571</v>
      </c>
      <c r="D23" s="883"/>
      <c r="E23" s="881">
        <v>1</v>
      </c>
      <c r="F23" s="884" t="s">
        <v>572</v>
      </c>
      <c r="G23" s="885"/>
      <c r="H23" s="877"/>
      <c r="I23" s="877"/>
    </row>
    <row r="24" spans="1:9" s="886" customFormat="1" ht="19.5" customHeight="1">
      <c r="A24" s="3278"/>
      <c r="B24" s="3278" t="s">
        <v>563</v>
      </c>
      <c r="C24" s="882" t="s">
        <v>573</v>
      </c>
      <c r="D24" s="883"/>
      <c r="E24" s="881">
        <v>0.5</v>
      </c>
      <c r="F24" s="884"/>
      <c r="G24" s="885"/>
      <c r="H24" s="877"/>
      <c r="I24" s="877"/>
    </row>
    <row r="25" spans="1:9" s="886" customFormat="1" ht="19.5" customHeight="1">
      <c r="A25" s="3278"/>
      <c r="B25" s="3278"/>
      <c r="C25" s="882" t="s">
        <v>574</v>
      </c>
      <c r="D25" s="883"/>
      <c r="E25" s="881">
        <v>1.1000000000000001</v>
      </c>
      <c r="F25" s="884"/>
      <c r="G25" s="885"/>
      <c r="H25" s="877"/>
      <c r="I25" s="877"/>
    </row>
    <row r="26" spans="1:9" s="886" customFormat="1" ht="19.5" customHeight="1">
      <c r="A26" s="3278"/>
      <c r="B26" s="3278"/>
      <c r="C26" s="882" t="s">
        <v>575</v>
      </c>
      <c r="D26" s="883"/>
      <c r="E26" s="881">
        <v>1.1000000000000001</v>
      </c>
      <c r="F26" s="884"/>
      <c r="G26" s="885"/>
      <c r="H26" s="877"/>
      <c r="I26" s="877"/>
    </row>
    <row r="27" spans="1:9" s="886" customFormat="1" ht="19.5" customHeight="1">
      <c r="A27" s="3278"/>
      <c r="B27" s="3278"/>
      <c r="C27" s="882" t="s">
        <v>576</v>
      </c>
      <c r="D27" s="883"/>
      <c r="E27" s="881">
        <v>0.9</v>
      </c>
      <c r="F27" s="884" t="s">
        <v>577</v>
      </c>
      <c r="G27" s="885"/>
      <c r="H27" s="877"/>
      <c r="I27" s="877"/>
    </row>
    <row r="28" spans="1:9" s="886" customFormat="1" ht="19.5" customHeight="1">
      <c r="A28" s="3278"/>
      <c r="B28" s="3278"/>
      <c r="C28" s="882" t="s">
        <v>578</v>
      </c>
      <c r="D28" s="883"/>
      <c r="E28" s="881">
        <v>0.9</v>
      </c>
      <c r="F28" s="884" t="s">
        <v>579</v>
      </c>
      <c r="G28" s="885"/>
      <c r="H28" s="877"/>
      <c r="I28" s="877"/>
    </row>
    <row r="29" spans="1:9" s="886" customFormat="1" ht="19.5" customHeight="1">
      <c r="A29" s="3278"/>
      <c r="B29" s="3278"/>
      <c r="C29" s="882" t="s">
        <v>580</v>
      </c>
      <c r="D29" s="883"/>
      <c r="E29" s="881">
        <v>0.9</v>
      </c>
      <c r="F29" s="884" t="s">
        <v>581</v>
      </c>
      <c r="G29" s="885"/>
      <c r="H29" s="877"/>
      <c r="I29" s="877"/>
    </row>
    <row r="30" spans="1:9" s="886" customFormat="1" ht="19.5" customHeight="1">
      <c r="A30" s="3278"/>
      <c r="B30" s="3278"/>
      <c r="C30" s="882" t="s">
        <v>582</v>
      </c>
      <c r="D30" s="883"/>
      <c r="E30" s="881">
        <v>0.9</v>
      </c>
      <c r="F30" s="884" t="s">
        <v>583</v>
      </c>
      <c r="G30" s="885"/>
      <c r="H30" s="877"/>
      <c r="I30" s="877"/>
    </row>
    <row r="31" spans="1:9" s="886" customFormat="1" ht="19.5" customHeight="1">
      <c r="A31" s="3278"/>
      <c r="B31" s="3278"/>
      <c r="C31" s="882" t="s">
        <v>584</v>
      </c>
      <c r="D31" s="883"/>
      <c r="E31" s="881">
        <v>0.8</v>
      </c>
      <c r="F31" s="884" t="s">
        <v>585</v>
      </c>
      <c r="G31" s="885"/>
      <c r="H31" s="877"/>
      <c r="I31" s="877"/>
    </row>
    <row r="32" spans="1:9" s="886" customFormat="1" ht="19.5" customHeight="1">
      <c r="A32" s="3278"/>
      <c r="B32" s="3278"/>
      <c r="C32" s="882" t="s">
        <v>586</v>
      </c>
      <c r="D32" s="883"/>
      <c r="E32" s="881">
        <v>0.8</v>
      </c>
      <c r="F32" s="884" t="s">
        <v>587</v>
      </c>
      <c r="G32" s="885"/>
      <c r="H32" s="877"/>
      <c r="I32" s="877"/>
    </row>
    <row r="33" spans="1:9" s="886" customFormat="1" ht="19.5" customHeight="1">
      <c r="A33" s="3278" t="s">
        <v>185</v>
      </c>
      <c r="B33" s="881" t="s">
        <v>560</v>
      </c>
      <c r="C33" s="882" t="s">
        <v>588</v>
      </c>
      <c r="D33" s="883"/>
      <c r="E33" s="881">
        <v>1</v>
      </c>
      <c r="F33" s="884" t="s">
        <v>589</v>
      </c>
      <c r="G33" s="885"/>
      <c r="H33" s="877"/>
      <c r="I33" s="877"/>
    </row>
    <row r="34" spans="1:9" s="886" customFormat="1" ht="19.5" customHeight="1">
      <c r="A34" s="3278"/>
      <c r="B34" s="881" t="s">
        <v>563</v>
      </c>
      <c r="C34" s="882" t="s">
        <v>590</v>
      </c>
      <c r="D34" s="883"/>
      <c r="E34" s="881">
        <v>1.5</v>
      </c>
      <c r="F34" s="884" t="s">
        <v>591</v>
      </c>
      <c r="G34" s="885"/>
      <c r="H34" s="877"/>
      <c r="I34" s="877"/>
    </row>
    <row r="35" spans="1:9" s="886" customFormat="1" ht="19.5" customHeight="1">
      <c r="A35" s="3278" t="s">
        <v>186</v>
      </c>
      <c r="B35" s="881" t="s">
        <v>560</v>
      </c>
      <c r="C35" s="882" t="s">
        <v>592</v>
      </c>
      <c r="D35" s="883"/>
      <c r="E35" s="881">
        <v>1</v>
      </c>
      <c r="F35" s="884" t="s">
        <v>593</v>
      </c>
      <c r="G35" s="885"/>
      <c r="H35" s="877"/>
      <c r="I35" s="877"/>
    </row>
    <row r="36" spans="1:9" s="886" customFormat="1" ht="19.5" customHeight="1">
      <c r="A36" s="3278"/>
      <c r="B36" s="3278" t="s">
        <v>563</v>
      </c>
      <c r="C36" s="882" t="s">
        <v>594</v>
      </c>
      <c r="D36" s="883"/>
      <c r="E36" s="881">
        <v>1</v>
      </c>
      <c r="F36" s="884" t="s">
        <v>595</v>
      </c>
      <c r="G36" s="885"/>
      <c r="H36" s="877"/>
      <c r="I36" s="877"/>
    </row>
    <row r="37" spans="1:9" s="886" customFormat="1" ht="19.5" customHeight="1">
      <c r="A37" s="3278"/>
      <c r="B37" s="3278"/>
      <c r="C37" s="882" t="s">
        <v>596</v>
      </c>
      <c r="D37" s="883"/>
      <c r="E37" s="881">
        <v>1.5</v>
      </c>
      <c r="F37" s="884" t="s">
        <v>597</v>
      </c>
      <c r="G37" s="885"/>
      <c r="H37" s="877"/>
      <c r="I37" s="877"/>
    </row>
    <row r="38" spans="1:9" s="886" customFormat="1" ht="19.5" customHeight="1">
      <c r="A38" s="3278"/>
      <c r="B38" s="3278"/>
      <c r="C38" s="882" t="s">
        <v>598</v>
      </c>
      <c r="D38" s="883"/>
      <c r="E38" s="881">
        <v>1</v>
      </c>
      <c r="F38" s="884" t="s">
        <v>599</v>
      </c>
      <c r="G38" s="885"/>
      <c r="H38" s="877"/>
      <c r="I38" s="877"/>
    </row>
    <row r="39" spans="1:9" s="886" customFormat="1" ht="19.5" customHeight="1">
      <c r="A39" s="3278"/>
      <c r="B39" s="327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8" t="s">
        <v>614</v>
      </c>
      <c r="C61" s="817" t="s">
        <v>615</v>
      </c>
      <c r="D61" s="817" t="s">
        <v>616</v>
      </c>
      <c r="E61" s="894">
        <v>0.5</v>
      </c>
      <c r="F61" s="881">
        <v>80</v>
      </c>
    </row>
    <row r="62" spans="1:8" s="877" customFormat="1" ht="24">
      <c r="A62" s="881">
        <v>2</v>
      </c>
      <c r="B62" s="3278"/>
      <c r="C62" s="817" t="s">
        <v>617</v>
      </c>
      <c r="D62" s="817" t="s">
        <v>618</v>
      </c>
      <c r="E62" s="894">
        <v>0.5</v>
      </c>
      <c r="F62" s="881">
        <v>80</v>
      </c>
    </row>
    <row r="63" spans="1:8" s="877" customFormat="1" ht="36">
      <c r="A63" s="881">
        <v>3</v>
      </c>
      <c r="B63" s="3278"/>
      <c r="C63" s="817" t="s">
        <v>619</v>
      </c>
      <c r="D63" s="817" t="s">
        <v>620</v>
      </c>
      <c r="E63" s="894">
        <v>0.5</v>
      </c>
      <c r="F63" s="881">
        <v>80</v>
      </c>
    </row>
    <row r="64" spans="1:8" s="877" customFormat="1" ht="36">
      <c r="A64" s="881">
        <v>4</v>
      </c>
      <c r="B64" s="3278"/>
      <c r="C64" s="817" t="s">
        <v>621</v>
      </c>
      <c r="D64" s="817" t="s">
        <v>622</v>
      </c>
      <c r="E64" s="894">
        <v>0.4</v>
      </c>
      <c r="F64" s="881">
        <v>60</v>
      </c>
    </row>
    <row r="65" spans="1:6" s="877" customFormat="1" ht="36">
      <c r="A65" s="881">
        <v>5</v>
      </c>
      <c r="B65" s="3278"/>
      <c r="C65" s="817" t="s">
        <v>623</v>
      </c>
      <c r="D65" s="817" t="s">
        <v>624</v>
      </c>
      <c r="E65" s="894">
        <v>0.2</v>
      </c>
      <c r="F65" s="881">
        <v>30</v>
      </c>
    </row>
    <row r="66" spans="1:6" s="877" customFormat="1" ht="36">
      <c r="A66" s="881">
        <v>6</v>
      </c>
      <c r="B66" s="3278"/>
      <c r="C66" s="817" t="s">
        <v>625</v>
      </c>
      <c r="D66" s="817" t="s">
        <v>626</v>
      </c>
      <c r="E66" s="894">
        <v>0.3</v>
      </c>
      <c r="F66" s="881">
        <v>50</v>
      </c>
    </row>
    <row r="67" spans="1:6" s="877" customFormat="1" ht="36">
      <c r="A67" s="881">
        <v>7</v>
      </c>
      <c r="B67" s="3278"/>
      <c r="C67" s="817" t="s">
        <v>627</v>
      </c>
      <c r="D67" s="817" t="s">
        <v>628</v>
      </c>
      <c r="E67" s="894">
        <v>0.2</v>
      </c>
      <c r="F67" s="881">
        <v>30</v>
      </c>
    </row>
    <row r="68" spans="1:6" s="877" customFormat="1" ht="36">
      <c r="A68" s="881">
        <v>8</v>
      </c>
      <c r="B68" s="3278"/>
      <c r="C68" s="817" t="s">
        <v>629</v>
      </c>
      <c r="D68" s="817" t="s">
        <v>630</v>
      </c>
      <c r="E68" s="894">
        <v>0.2</v>
      </c>
      <c r="F68" s="881">
        <v>30</v>
      </c>
    </row>
    <row r="69" spans="1:6" s="877" customFormat="1" ht="36">
      <c r="A69" s="881">
        <v>9</v>
      </c>
      <c r="B69" s="3278"/>
      <c r="C69" s="817" t="s">
        <v>631</v>
      </c>
      <c r="D69" s="817" t="s">
        <v>632</v>
      </c>
      <c r="E69" s="894">
        <v>0.2</v>
      </c>
      <c r="F69" s="881">
        <v>30</v>
      </c>
    </row>
    <row r="70" spans="1:6" s="877" customFormat="1" ht="48">
      <c r="A70" s="881">
        <v>10</v>
      </c>
      <c r="B70" s="3278"/>
      <c r="C70" s="817" t="s">
        <v>633</v>
      </c>
      <c r="D70" s="817" t="s">
        <v>634</v>
      </c>
      <c r="E70" s="894">
        <v>0.2</v>
      </c>
      <c r="F70" s="881">
        <v>30</v>
      </c>
    </row>
    <row r="71" spans="1:6" s="877" customFormat="1" ht="48">
      <c r="A71" s="881">
        <v>11</v>
      </c>
      <c r="B71" s="3278"/>
      <c r="C71" s="817" t="s">
        <v>635</v>
      </c>
      <c r="D71" s="817" t="s">
        <v>636</v>
      </c>
      <c r="E71" s="894">
        <v>0.2</v>
      </c>
      <c r="F71" s="881">
        <v>30</v>
      </c>
    </row>
    <row r="72" spans="1:6" s="877" customFormat="1" ht="36">
      <c r="A72" s="881">
        <v>12</v>
      </c>
      <c r="B72" s="3278"/>
      <c r="C72" s="817" t="s">
        <v>637</v>
      </c>
      <c r="D72" s="817" t="s">
        <v>638</v>
      </c>
      <c r="E72" s="894">
        <v>0.5</v>
      </c>
      <c r="F72" s="881">
        <v>80</v>
      </c>
    </row>
    <row r="73" spans="1:6" s="877" customFormat="1" ht="24">
      <c r="A73" s="881">
        <v>13</v>
      </c>
      <c r="B73" s="3278"/>
      <c r="C73" s="817" t="s">
        <v>639</v>
      </c>
      <c r="D73" s="817" t="s">
        <v>640</v>
      </c>
      <c r="E73" s="894">
        <v>0.4</v>
      </c>
      <c r="F73" s="881">
        <v>60</v>
      </c>
    </row>
    <row r="74" spans="1:6" s="877" customFormat="1" ht="24">
      <c r="A74" s="881">
        <v>14</v>
      </c>
      <c r="B74" s="3278"/>
      <c r="C74" s="817" t="s">
        <v>641</v>
      </c>
      <c r="D74" s="817" t="s">
        <v>642</v>
      </c>
      <c r="E74" s="894">
        <v>0.2</v>
      </c>
      <c r="F74" s="881">
        <v>30</v>
      </c>
    </row>
    <row r="75" spans="1:6" s="877" customFormat="1" ht="24">
      <c r="A75" s="881">
        <v>15</v>
      </c>
      <c r="B75" s="3278"/>
      <c r="C75" s="817" t="s">
        <v>643</v>
      </c>
      <c r="D75" s="817" t="s">
        <v>644</v>
      </c>
      <c r="E75" s="894">
        <v>0.2</v>
      </c>
      <c r="F75" s="881">
        <v>30</v>
      </c>
    </row>
    <row r="76" spans="1:6" s="877" customFormat="1" ht="24">
      <c r="A76" s="881">
        <v>16</v>
      </c>
      <c r="B76" s="3278" t="s">
        <v>645</v>
      </c>
      <c r="C76" s="817" t="s">
        <v>646</v>
      </c>
      <c r="D76" s="817" t="s">
        <v>647</v>
      </c>
      <c r="E76" s="894">
        <v>0.5</v>
      </c>
      <c r="F76" s="881">
        <v>80</v>
      </c>
    </row>
    <row r="77" spans="1:6" s="877" customFormat="1" ht="24">
      <c r="A77" s="881">
        <v>17</v>
      </c>
      <c r="B77" s="3278"/>
      <c r="C77" s="817" t="s">
        <v>648</v>
      </c>
      <c r="D77" s="817" t="s">
        <v>649</v>
      </c>
      <c r="E77" s="894">
        <v>0.5</v>
      </c>
      <c r="F77" s="881">
        <v>80</v>
      </c>
    </row>
    <row r="78" spans="1:6" s="877" customFormat="1" ht="24">
      <c r="A78" s="881">
        <v>18</v>
      </c>
      <c r="B78" s="3278"/>
      <c r="C78" s="817" t="s">
        <v>650</v>
      </c>
      <c r="D78" s="817" t="s">
        <v>651</v>
      </c>
      <c r="E78" s="894">
        <v>0.2</v>
      </c>
      <c r="F78" s="881">
        <v>30</v>
      </c>
    </row>
    <row r="79" spans="1:6" s="877" customFormat="1" ht="24">
      <c r="A79" s="881">
        <v>19</v>
      </c>
      <c r="B79" s="3278"/>
      <c r="C79" s="817" t="s">
        <v>652</v>
      </c>
      <c r="D79" s="817" t="s">
        <v>653</v>
      </c>
      <c r="E79" s="894">
        <v>0.5</v>
      </c>
      <c r="F79" s="881">
        <v>80</v>
      </c>
    </row>
    <row r="80" spans="1:6" s="877" customFormat="1" ht="36">
      <c r="A80" s="881">
        <v>20</v>
      </c>
      <c r="B80" s="3278"/>
      <c r="C80" s="817" t="s">
        <v>654</v>
      </c>
      <c r="D80" s="817" t="s">
        <v>655</v>
      </c>
      <c r="E80" s="894">
        <v>0.2</v>
      </c>
      <c r="F80" s="881">
        <v>30</v>
      </c>
    </row>
    <row r="81" spans="1:6" s="877" customFormat="1" ht="36">
      <c r="A81" s="881">
        <v>21</v>
      </c>
      <c r="B81" s="3278"/>
      <c r="C81" s="817" t="s">
        <v>656</v>
      </c>
      <c r="D81" s="817" t="s">
        <v>657</v>
      </c>
      <c r="E81" s="894">
        <v>0.2</v>
      </c>
      <c r="F81" s="881">
        <v>30</v>
      </c>
    </row>
    <row r="82" spans="1:6" s="877" customFormat="1" ht="48">
      <c r="A82" s="881">
        <v>22</v>
      </c>
      <c r="B82" s="3278"/>
      <c r="C82" s="817" t="s">
        <v>658</v>
      </c>
      <c r="D82" s="817" t="s">
        <v>659</v>
      </c>
      <c r="E82" s="894">
        <v>0.2</v>
      </c>
      <c r="F82" s="881">
        <v>30</v>
      </c>
    </row>
    <row r="83" spans="1:6" s="877" customFormat="1" ht="48">
      <c r="A83" s="881">
        <v>23</v>
      </c>
      <c r="B83" s="3278"/>
      <c r="C83" s="817" t="s">
        <v>660</v>
      </c>
      <c r="D83" s="817" t="s">
        <v>661</v>
      </c>
      <c r="E83" s="894">
        <v>0.2</v>
      </c>
      <c r="F83" s="881">
        <v>30</v>
      </c>
    </row>
    <row r="84" spans="1:6" s="877" customFormat="1" ht="36">
      <c r="A84" s="881">
        <v>24</v>
      </c>
      <c r="B84" s="3278"/>
      <c r="C84" s="817" t="s">
        <v>662</v>
      </c>
      <c r="D84" s="817" t="s">
        <v>663</v>
      </c>
      <c r="E84" s="894">
        <v>0.2</v>
      </c>
      <c r="F84" s="881">
        <v>30</v>
      </c>
    </row>
    <row r="85" spans="1:6" s="877" customFormat="1" ht="36">
      <c r="A85" s="881">
        <v>25</v>
      </c>
      <c r="B85" s="3278"/>
      <c r="C85" s="817" t="s">
        <v>664</v>
      </c>
      <c r="D85" s="817" t="s">
        <v>665</v>
      </c>
      <c r="E85" s="894">
        <v>0.5</v>
      </c>
      <c r="F85" s="881">
        <v>80</v>
      </c>
    </row>
    <row r="86" spans="1:6" s="877" customFormat="1" ht="36">
      <c r="A86" s="881">
        <v>26</v>
      </c>
      <c r="B86" s="3278"/>
      <c r="C86" s="817" t="s">
        <v>666</v>
      </c>
      <c r="D86" s="817" t="s">
        <v>667</v>
      </c>
      <c r="E86" s="894">
        <v>0.2</v>
      </c>
      <c r="F86" s="881">
        <v>30</v>
      </c>
    </row>
    <row r="87" spans="1:6" s="877" customFormat="1" ht="36">
      <c r="A87" s="881">
        <v>27</v>
      </c>
      <c r="B87" s="3278"/>
      <c r="C87" s="817" t="s">
        <v>668</v>
      </c>
      <c r="D87" s="817" t="s">
        <v>669</v>
      </c>
      <c r="E87" s="894">
        <v>0.2</v>
      </c>
      <c r="F87" s="881">
        <v>30</v>
      </c>
    </row>
    <row r="88" spans="1:6" s="877" customFormat="1" ht="36">
      <c r="A88" s="881">
        <v>28</v>
      </c>
      <c r="B88" s="3278"/>
      <c r="C88" s="817" t="s">
        <v>670</v>
      </c>
      <c r="D88" s="817" t="s">
        <v>671</v>
      </c>
      <c r="E88" s="894">
        <v>0.2</v>
      </c>
      <c r="F88" s="881">
        <v>30</v>
      </c>
    </row>
    <row r="89" spans="1:6" s="877" customFormat="1" ht="24">
      <c r="A89" s="881">
        <v>29</v>
      </c>
      <c r="B89" s="3278"/>
      <c r="C89" s="817" t="s">
        <v>672</v>
      </c>
      <c r="D89" s="817" t="s">
        <v>673</v>
      </c>
      <c r="E89" s="894">
        <v>0.2</v>
      </c>
      <c r="F89" s="881">
        <v>30</v>
      </c>
    </row>
    <row r="90" spans="1:6" s="877" customFormat="1" ht="24">
      <c r="A90" s="881">
        <v>30</v>
      </c>
      <c r="B90" s="3278"/>
      <c r="C90" s="817" t="s">
        <v>674</v>
      </c>
      <c r="D90" s="817" t="s">
        <v>675</v>
      </c>
      <c r="E90" s="894">
        <v>0.2</v>
      </c>
      <c r="F90" s="881">
        <v>30</v>
      </c>
    </row>
    <row r="91" spans="1:6" s="877" customFormat="1" ht="36">
      <c r="A91" s="881">
        <v>31</v>
      </c>
      <c r="B91" s="3278"/>
      <c r="C91" s="817" t="s">
        <v>676</v>
      </c>
      <c r="D91" s="817" t="s">
        <v>677</v>
      </c>
      <c r="E91" s="894">
        <v>0.2</v>
      </c>
      <c r="F91" s="881">
        <v>30</v>
      </c>
    </row>
    <row r="92" spans="1:6" s="877" customFormat="1" ht="24">
      <c r="A92" s="881">
        <v>32</v>
      </c>
      <c r="B92" s="3278" t="s">
        <v>678</v>
      </c>
      <c r="C92" s="881" t="s">
        <v>679</v>
      </c>
      <c r="D92" s="817" t="s">
        <v>680</v>
      </c>
      <c r="E92" s="894">
        <v>0.2</v>
      </c>
      <c r="F92" s="881">
        <v>30</v>
      </c>
    </row>
    <row r="93" spans="1:6" s="877" customFormat="1" ht="36">
      <c r="A93" s="881">
        <v>33</v>
      </c>
      <c r="B93" s="3278"/>
      <c r="C93" s="881" t="s">
        <v>681</v>
      </c>
      <c r="D93" s="817" t="s">
        <v>682</v>
      </c>
      <c r="E93" s="894">
        <v>0.2</v>
      </c>
      <c r="F93" s="881">
        <v>30</v>
      </c>
    </row>
    <row r="94" spans="1:6" s="877" customFormat="1" ht="48">
      <c r="A94" s="881">
        <v>34</v>
      </c>
      <c r="B94" s="3278"/>
      <c r="C94" s="881" t="s">
        <v>683</v>
      </c>
      <c r="D94" s="817" t="s">
        <v>684</v>
      </c>
      <c r="E94" s="894">
        <v>0.2</v>
      </c>
      <c r="F94" s="881">
        <v>30</v>
      </c>
    </row>
    <row r="95" spans="1:6" s="877" customFormat="1" ht="36">
      <c r="A95" s="881">
        <v>35</v>
      </c>
      <c r="B95" s="3278"/>
      <c r="C95" s="881" t="s">
        <v>685</v>
      </c>
      <c r="D95" s="817" t="s">
        <v>686</v>
      </c>
      <c r="E95" s="894">
        <v>0.2</v>
      </c>
      <c r="F95" s="881">
        <v>30</v>
      </c>
    </row>
    <row r="96" spans="1:6" s="877" customFormat="1" ht="48">
      <c r="A96" s="881">
        <v>36</v>
      </c>
      <c r="B96" s="3278"/>
      <c r="C96" s="817" t="s">
        <v>687</v>
      </c>
      <c r="D96" s="817" t="s">
        <v>688</v>
      </c>
      <c r="E96" s="894">
        <v>0.2</v>
      </c>
      <c r="F96" s="881">
        <v>30</v>
      </c>
    </row>
    <row r="97" spans="1:6" s="877" customFormat="1" ht="36">
      <c r="A97" s="881">
        <v>37</v>
      </c>
      <c r="B97" s="3278"/>
      <c r="C97" s="881" t="s">
        <v>689</v>
      </c>
      <c r="D97" s="817" t="s">
        <v>690</v>
      </c>
      <c r="E97" s="894">
        <v>0.2</v>
      </c>
      <c r="F97" s="881">
        <v>30</v>
      </c>
    </row>
    <row r="98" spans="1:6" s="877" customFormat="1" ht="36">
      <c r="A98" s="881">
        <v>38</v>
      </c>
      <c r="B98" s="3278"/>
      <c r="C98" s="881" t="s">
        <v>691</v>
      </c>
      <c r="D98" s="817" t="s">
        <v>692</v>
      </c>
      <c r="E98" s="894">
        <v>0.2</v>
      </c>
      <c r="F98" s="881">
        <v>30</v>
      </c>
    </row>
    <row r="99" spans="1:6" s="877" customFormat="1" ht="36">
      <c r="A99" s="881">
        <v>39</v>
      </c>
      <c r="B99" s="3278" t="s">
        <v>693</v>
      </c>
      <c r="C99" s="881" t="s">
        <v>694</v>
      </c>
      <c r="D99" s="817" t="s">
        <v>695</v>
      </c>
      <c r="E99" s="894">
        <v>0.3</v>
      </c>
      <c r="F99" s="881">
        <v>50</v>
      </c>
    </row>
    <row r="100" spans="1:6" s="877" customFormat="1" ht="24">
      <c r="A100" s="881">
        <v>40</v>
      </c>
      <c r="B100" s="3278"/>
      <c r="C100" s="881" t="s">
        <v>696</v>
      </c>
      <c r="D100" s="817" t="s">
        <v>697</v>
      </c>
      <c r="E100" s="894">
        <v>0.2</v>
      </c>
      <c r="F100" s="881">
        <v>30</v>
      </c>
    </row>
    <row r="101" spans="1:6" s="877" customFormat="1" ht="36">
      <c r="A101" s="881">
        <v>41</v>
      </c>
      <c r="B101" s="327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8" t="s">
        <v>708</v>
      </c>
      <c r="C105" s="881" t="s">
        <v>709</v>
      </c>
      <c r="D105" s="817" t="s">
        <v>710</v>
      </c>
      <c r="E105" s="894">
        <v>0.2</v>
      </c>
      <c r="F105" s="881">
        <v>30</v>
      </c>
    </row>
    <row r="106" spans="1:6" s="877" customFormat="1" ht="36">
      <c r="A106" s="881">
        <v>46</v>
      </c>
      <c r="B106" s="3278"/>
      <c r="C106" s="881" t="s">
        <v>711</v>
      </c>
      <c r="D106" s="817" t="s">
        <v>712</v>
      </c>
      <c r="E106" s="894">
        <v>0.2</v>
      </c>
      <c r="F106" s="881">
        <v>30</v>
      </c>
    </row>
    <row r="107" spans="1:6" s="877" customFormat="1" ht="36">
      <c r="A107" s="881">
        <v>47</v>
      </c>
      <c r="B107" s="3278" t="s">
        <v>713</v>
      </c>
      <c r="C107" s="881" t="s">
        <v>714</v>
      </c>
      <c r="D107" s="817" t="s">
        <v>715</v>
      </c>
      <c r="E107" s="894">
        <v>0.3</v>
      </c>
      <c r="F107" s="881">
        <v>50</v>
      </c>
    </row>
    <row r="108" spans="1:6" s="877" customFormat="1" ht="36">
      <c r="A108" s="881">
        <v>48</v>
      </c>
      <c r="B108" s="327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8" t="s">
        <v>724</v>
      </c>
      <c r="C111" s="881" t="s">
        <v>725</v>
      </c>
      <c r="D111" s="817" t="s">
        <v>726</v>
      </c>
      <c r="E111" s="894">
        <v>0.2</v>
      </c>
      <c r="F111" s="881">
        <v>30</v>
      </c>
    </row>
    <row r="112" spans="1:6" s="877" customFormat="1" ht="24">
      <c r="A112" s="881">
        <v>52</v>
      </c>
      <c r="B112" s="3278"/>
      <c r="C112" s="881" t="s">
        <v>727</v>
      </c>
      <c r="D112" s="817" t="s">
        <v>728</v>
      </c>
      <c r="E112" s="894">
        <v>0.2</v>
      </c>
      <c r="F112" s="881">
        <v>30</v>
      </c>
    </row>
    <row r="113" spans="1:6" s="877" customFormat="1" ht="24">
      <c r="A113" s="881">
        <v>53</v>
      </c>
      <c r="B113" s="327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8" t="s">
        <v>737</v>
      </c>
      <c r="C116" s="881" t="s">
        <v>738</v>
      </c>
      <c r="D116" s="817" t="s">
        <v>739</v>
      </c>
      <c r="E116" s="894">
        <v>0.2</v>
      </c>
      <c r="F116" s="881">
        <v>30</v>
      </c>
    </row>
    <row r="117" spans="1:6" ht="36">
      <c r="A117" s="881">
        <v>57</v>
      </c>
      <c r="B117" s="327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2996</v>
      </c>
    </row>
    <row r="2" spans="1:5" ht="15.75">
      <c r="A2" s="2911" t="s">
        <v>2988</v>
      </c>
      <c r="B2" s="2912" t="e">
        <f ca="1">SUMIF(B6:B13,"&lt;&gt;#ref!",B6:B13)</f>
        <v>#DIV/0!</v>
      </c>
      <c r="C2" s="2911" t="s">
        <v>2989</v>
      </c>
      <c r="D2" s="2911" t="s">
        <v>2990</v>
      </c>
      <c r="E2" s="2912">
        <f ca="1">SUMIF(E6:E13,"&lt;&gt;#ref!",E6:E13)</f>
        <v>0</v>
      </c>
    </row>
    <row r="3" spans="1:5" ht="15.75">
      <c r="A3" s="2911" t="s">
        <v>2991</v>
      </c>
      <c r="B3" s="2912" t="e">
        <f ca="1">ROUND(B2*10000/E2,0)</f>
        <v>#DIV/0!</v>
      </c>
      <c r="C3" s="2911" t="s">
        <v>2997</v>
      </c>
      <c r="D3" s="2913"/>
      <c r="E3" s="2913"/>
    </row>
    <row r="4" spans="1:5" ht="15.75">
      <c r="A4" s="2914"/>
      <c r="B4" s="2913"/>
      <c r="C4" s="2913"/>
      <c r="D4" s="2913"/>
      <c r="E4" s="2913"/>
    </row>
    <row r="5" spans="1:5" ht="28.5">
      <c r="A5" s="2915" t="s">
        <v>2992</v>
      </c>
      <c r="B5" s="2911" t="s">
        <v>2993</v>
      </c>
      <c r="C5" s="2912"/>
      <c r="D5" s="2913"/>
      <c r="E5" s="2911" t="s">
        <v>2994</v>
      </c>
    </row>
    <row r="6" spans="1:5" ht="15.75">
      <c r="A6" s="2916" t="s">
        <v>2995</v>
      </c>
      <c r="B6" s="2912" t="e">
        <f ca="1">SUMIF(INDIRECT("'"&amp;A6&amp;"'"&amp;"!A:A"),"总价",INDIRECT("'"&amp;A6&amp;"'"&amp;"!B:B"))</f>
        <v>#DIV/0!</v>
      </c>
      <c r="C6" s="2911" t="s">
        <v>2989</v>
      </c>
      <c r="D6" s="2913"/>
      <c r="E6" s="2576">
        <f ca="1">SUMIF(INDIRECT("'"&amp;A6&amp;"'"&amp;"!C:C"),"建筑面积",INDIRECT("'"&amp;A6&amp;"'"&amp;"!D:D"))</f>
        <v>0</v>
      </c>
    </row>
    <row r="7" spans="1:5" ht="15.75">
      <c r="A7" s="2916"/>
      <c r="B7" s="2912" t="e">
        <f ca="1">SUMIF(INDIRECT("'"&amp;A7&amp;"'"&amp;"!A:A"),"总价",INDIRECT("'"&amp;A7&amp;"'"&amp;"!B:B"))</f>
        <v>#REF!</v>
      </c>
      <c r="C7" s="2911" t="s">
        <v>2989</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2989</v>
      </c>
      <c r="D8" s="2913"/>
      <c r="E8" s="2576" t="e">
        <f t="shared" ca="1" si="0"/>
        <v>#REF!</v>
      </c>
    </row>
    <row r="9" spans="1:5" ht="15.75">
      <c r="A9" s="2916"/>
      <c r="B9" s="2912" t="e">
        <f t="shared" ca="1" si="1"/>
        <v>#REF!</v>
      </c>
      <c r="C9" s="2911" t="s">
        <v>2989</v>
      </c>
      <c r="D9" s="2913"/>
      <c r="E9" s="2576" t="e">
        <f t="shared" ca="1" si="0"/>
        <v>#REF!</v>
      </c>
    </row>
    <row r="10" spans="1:5" ht="15.75">
      <c r="A10" s="2916"/>
      <c r="B10" s="2912" t="e">
        <f t="shared" ca="1" si="1"/>
        <v>#REF!</v>
      </c>
      <c r="C10" s="2911" t="s">
        <v>2989</v>
      </c>
      <c r="D10" s="2913"/>
      <c r="E10" s="2576" t="e">
        <f t="shared" ca="1" si="0"/>
        <v>#REF!</v>
      </c>
    </row>
    <row r="11" spans="1:5" ht="15.75">
      <c r="A11" s="2916"/>
      <c r="B11" s="2912" t="e">
        <f t="shared" ca="1" si="1"/>
        <v>#REF!</v>
      </c>
      <c r="C11" s="2911" t="s">
        <v>2989</v>
      </c>
      <c r="D11" s="2913"/>
      <c r="E11" s="2576" t="e">
        <f t="shared" ca="1" si="0"/>
        <v>#REF!</v>
      </c>
    </row>
    <row r="12" spans="1:5" ht="15.75">
      <c r="A12" s="2916"/>
      <c r="B12" s="2912" t="e">
        <f t="shared" ca="1" si="1"/>
        <v>#REF!</v>
      </c>
      <c r="C12" s="2911" t="s">
        <v>2989</v>
      </c>
      <c r="D12" s="2913"/>
      <c r="E12" s="2576" t="e">
        <f t="shared" ca="1" si="0"/>
        <v>#REF!</v>
      </c>
    </row>
    <row r="13" spans="1:5" ht="15.75">
      <c r="A13" s="2916"/>
      <c r="B13" s="2912" t="e">
        <f t="shared" ca="1" si="1"/>
        <v>#REF!</v>
      </c>
      <c r="C13" s="2911" t="s">
        <v>2989</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4" t="s">
        <v>1146</v>
      </c>
      <c r="C1" s="3284"/>
      <c r="D1" s="3284"/>
      <c r="E1" s="3284"/>
      <c r="F1" s="3284"/>
      <c r="G1" s="3283" t="s">
        <v>1147</v>
      </c>
      <c r="H1" s="3283"/>
      <c r="I1" s="3283"/>
      <c r="J1" s="3283"/>
      <c r="K1" s="3283"/>
      <c r="L1" s="3283"/>
      <c r="N1" s="3283" t="s">
        <v>1148</v>
      </c>
      <c r="O1" s="3283"/>
      <c r="P1" s="3283"/>
      <c r="Q1" s="3283"/>
      <c r="R1" s="1448"/>
      <c r="S1" s="3283" t="s">
        <v>1149</v>
      </c>
      <c r="T1" s="3283"/>
      <c r="U1" s="3283"/>
      <c r="V1" s="3283"/>
      <c r="X1" s="3282" t="s">
        <v>1150</v>
      </c>
      <c r="Y1" s="3283"/>
      <c r="Z1" s="3283"/>
      <c r="AA1" s="3283"/>
      <c r="AB1" s="3283"/>
      <c r="AD1" s="3282" t="s">
        <v>1151</v>
      </c>
      <c r="AE1" s="3283"/>
      <c r="AF1" s="3283"/>
      <c r="AG1" s="3283"/>
      <c r="AH1" s="3283"/>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0" customFormat="1" ht="14.25">
      <c r="A3" s="2939" t="s">
        <v>3031</v>
      </c>
      <c r="B3" s="2931"/>
      <c r="C3" s="2931"/>
      <c r="D3" s="2932"/>
      <c r="E3" s="2932"/>
      <c r="F3" s="2931"/>
      <c r="G3" s="2933"/>
      <c r="H3" s="2934"/>
      <c r="I3" s="2935">
        <f>ROUND(AVERAGE($I4:$I24),2)</f>
        <v>2.19</v>
      </c>
      <c r="J3" s="2935">
        <f>ROUND(AVERAGE($J4:$J24),2)</f>
        <v>1.53</v>
      </c>
      <c r="K3" s="2935">
        <f>ROUND(AVERAGE($K4:$K24),2)</f>
        <v>2.41</v>
      </c>
      <c r="L3" s="2935">
        <f>ROUND(AVERAGE($L4:$L24),2)</f>
        <v>1.42</v>
      </c>
      <c r="N3" s="2933"/>
      <c r="O3" s="2936"/>
      <c r="P3" s="2936"/>
      <c r="Q3" s="2936"/>
      <c r="R3" s="2936"/>
      <c r="S3" s="2933"/>
      <c r="T3" s="2936"/>
      <c r="U3" s="2936"/>
      <c r="V3" s="2936"/>
      <c r="W3" s="2928"/>
      <c r="X3" s="2937">
        <f>ROUND(SUMPRODUCT(PRODUCT(1+N3:N$23)),4)</f>
        <v>1.4956</v>
      </c>
      <c r="Y3" s="2937">
        <f>ROUND(SUMPRODUCT(PRODUCT(1+O3:O$23)),4)</f>
        <v>1.3237000000000001</v>
      </c>
      <c r="Z3" s="2937">
        <f t="shared" ref="Z3:Z21" si="0">Y3</f>
        <v>1.3237000000000001</v>
      </c>
      <c r="AA3" s="2937">
        <f>ROUND(SUMPRODUCT(PRODUCT(1+P3:P$23)),4)</f>
        <v>1.554</v>
      </c>
      <c r="AB3" s="2937">
        <f>ROUND(SUMPRODUCT(PRODUCT(1+Q3:Q$23)),4)</f>
        <v>1.3087</v>
      </c>
      <c r="AD3" s="2938">
        <f>ROUND(AVERAGE(I3:I$24)/100,4)</f>
        <v>2.1899999999999999E-2</v>
      </c>
      <c r="AE3" s="2938">
        <f>ROUND(AVERAGE(J3:J$24)/100,4)</f>
        <v>1.5299999999999999E-2</v>
      </c>
      <c r="AF3" s="2938">
        <f t="shared" ref="AF3:AF22" si="1">AE3</f>
        <v>1.5299999999999999E-2</v>
      </c>
      <c r="AG3" s="2938">
        <f>ROUND(AVERAGE(K3:K$24)/100,4)</f>
        <v>2.41E-2</v>
      </c>
      <c r="AH3" s="2938">
        <f>ROUND(AVERAGE(L3:L$24)/100,4)</f>
        <v>1.4200000000000001E-2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3038</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2">
        <v>2018</v>
      </c>
      <c r="H5" s="1732">
        <v>4</v>
      </c>
      <c r="I5" s="2925">
        <v>0</v>
      </c>
      <c r="J5" s="2925">
        <v>0</v>
      </c>
      <c r="K5" s="2925">
        <v>0</v>
      </c>
      <c r="L5" s="2925">
        <v>0</v>
      </c>
      <c r="N5" s="1469">
        <f>I5/100</f>
        <v>0</v>
      </c>
      <c r="O5" s="1469">
        <f t="shared" ref="O5" si="7">J5/100</f>
        <v>0</v>
      </c>
      <c r="P5" s="1469">
        <f t="shared" ref="P5" si="8">K5/100</f>
        <v>0</v>
      </c>
      <c r="Q5" s="1469">
        <f t="shared" ref="Q5" si="9">L5/100</f>
        <v>0</v>
      </c>
      <c r="R5" s="1734"/>
      <c r="S5" s="1735"/>
      <c r="T5" s="1734"/>
      <c r="U5" s="1734"/>
      <c r="V5" s="1734"/>
      <c r="W5" s="2929" t="s">
        <v>3032</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3039</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0"/>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3037</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0"/>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3030</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0"/>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3027</v>
      </c>
      <c r="B9" s="1471">
        <v>439</v>
      </c>
      <c r="C9" s="1471">
        <v>327</v>
      </c>
      <c r="D9" s="1471">
        <f>C9</f>
        <v>327</v>
      </c>
      <c r="E9" s="1471">
        <v>627</v>
      </c>
      <c r="F9" s="1472">
        <v>283</v>
      </c>
      <c r="G9" s="2927">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3028</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3"/>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2"/>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3"/>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85">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80"/>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80"/>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1"/>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9">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80"/>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80"/>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1"/>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9">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80"/>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80"/>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1"/>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1159</v>
      </c>
      <c r="B25" s="1471">
        <v>299</v>
      </c>
      <c r="C25" s="1471">
        <v>252</v>
      </c>
      <c r="D25" s="1471">
        <f t="shared" si="64"/>
        <v>252</v>
      </c>
      <c r="E25" s="1471">
        <v>409</v>
      </c>
      <c r="F25" s="1472">
        <v>227</v>
      </c>
      <c r="G25" s="3286">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87"/>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87"/>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88"/>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79">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80"/>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80"/>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81"/>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79">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80">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80">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81">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79">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80">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80">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81">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79">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80">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80">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81">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79">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80">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80">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81">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79">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80">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80">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81">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79">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80">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80">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81">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79">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80">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80">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81">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79">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80">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80">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81">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79">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80">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80">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81">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79">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80">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80">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81">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2998</v>
      </c>
      <c r="C1" s="3290" t="s">
        <v>2999</v>
      </c>
      <c r="D1" s="3291"/>
      <c r="E1" s="3291"/>
      <c r="F1" s="3291"/>
      <c r="G1" s="3291"/>
      <c r="H1" s="3291"/>
      <c r="I1" s="3291"/>
      <c r="J1" s="3291"/>
      <c r="K1" s="3291"/>
      <c r="L1" s="3291"/>
      <c r="M1" s="3291"/>
      <c r="N1" s="3291"/>
      <c r="O1" s="3291"/>
      <c r="P1" s="3291"/>
      <c r="Q1" s="3291"/>
      <c r="R1" s="3291"/>
      <c r="S1" s="3292"/>
      <c r="T1" s="1206" t="s">
        <v>3000</v>
      </c>
    </row>
    <row r="2" spans="1:45" s="706" customFormat="1">
      <c r="A2" s="1207"/>
      <c r="B2" s="702" t="s">
        <v>3001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3002</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3003</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3004</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3005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3006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3007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7" t="s">
        <v>3008</v>
      </c>
      <c r="B17" s="2918" t="s">
        <v>3009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9" t="s">
        <v>3010</v>
      </c>
      <c r="E19" s="1794"/>
      <c r="F19" s="1794"/>
      <c r="G19" s="1794"/>
      <c r="H19" s="1282"/>
      <c r="I19" s="167"/>
      <c r="J19" s="167"/>
      <c r="K19" s="167"/>
      <c r="L19" s="167"/>
      <c r="M19" s="167"/>
      <c r="N19" s="167"/>
      <c r="O19" s="167"/>
      <c r="P19" s="167"/>
      <c r="Q19" s="167"/>
      <c r="R19" s="787"/>
      <c r="S19" s="137"/>
    </row>
    <row r="20" spans="1:45" ht="16.5" thickBot="1">
      <c r="A20" s="714" t="s">
        <v>3011</v>
      </c>
      <c r="B20" s="337" t="e">
        <f ca="1">IF(D20="——",S22,S22-F20)</f>
        <v>#REF!</v>
      </c>
      <c r="C20" s="167"/>
      <c r="D20" s="2920" t="s">
        <v>3012</v>
      </c>
      <c r="E20" s="1795"/>
      <c r="F20" s="1206" t="e">
        <f ca="1">SUMIF(INDIRECT("'"&amp;H20&amp;"'"&amp;"!A:A"),"承租人权益价值",INDIRECT("'"&amp;H20&amp;"'"&amp;"!c:c"))</f>
        <v>#REF!</v>
      </c>
      <c r="G20" s="1206" t="s">
        <v>3013</v>
      </c>
      <c r="H20" s="2921"/>
      <c r="I20" s="167"/>
      <c r="J20" s="167"/>
      <c r="K20" s="167"/>
      <c r="L20" s="167"/>
      <c r="M20" s="167"/>
      <c r="N20" s="167"/>
      <c r="O20" s="167"/>
      <c r="P20" s="167"/>
      <c r="Q20" s="167"/>
      <c r="R20" s="787"/>
      <c r="S20" s="137"/>
    </row>
    <row r="21" spans="1:45" ht="15.75">
      <c r="A21" s="714" t="s">
        <v>3014</v>
      </c>
      <c r="B21" s="337">
        <f>R22</f>
        <v>10000</v>
      </c>
      <c r="C21" s="167"/>
      <c r="D21" s="167"/>
      <c r="E21" s="167"/>
      <c r="F21" s="167"/>
      <c r="G21" s="167"/>
      <c r="H21" s="167"/>
      <c r="I21" s="167"/>
      <c r="J21" s="167"/>
      <c r="K21" s="167"/>
      <c r="L21" s="167"/>
      <c r="M21" s="167"/>
      <c r="N21" s="167"/>
      <c r="O21" s="167"/>
      <c r="P21" s="167"/>
      <c r="Q21" s="167"/>
      <c r="R21" s="787"/>
      <c r="S21" s="137"/>
    </row>
    <row r="22" spans="1:45">
      <c r="A22" s="360" t="s">
        <v>3015</v>
      </c>
      <c r="B22" s="24">
        <f>SUM(B24:B10000)</f>
        <v>100</v>
      </c>
      <c r="C22" s="3152" t="s">
        <v>33</v>
      </c>
      <c r="D22" s="3153"/>
      <c r="E22" s="3153"/>
      <c r="F22" s="3153"/>
      <c r="G22" s="3153"/>
      <c r="H22" s="3153"/>
      <c r="I22" s="3153"/>
      <c r="J22" s="3153"/>
      <c r="K22" s="3153"/>
      <c r="L22" s="3153"/>
      <c r="M22" s="3153"/>
      <c r="N22" s="3153"/>
      <c r="O22" s="3153"/>
      <c r="P22" s="3153"/>
      <c r="Q22" s="3289"/>
      <c r="R22" s="715">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3"/>
      <c r="B4" s="2975" t="s">
        <v>1626</v>
      </c>
      <c r="C4" s="2975"/>
      <c r="D4" s="2975"/>
      <c r="E4" s="1963"/>
    </row>
    <row r="5" spans="1:5" ht="16.5" thickTop="1">
      <c r="A5" s="1961"/>
      <c r="B5" s="2973" t="s">
        <v>1618</v>
      </c>
      <c r="C5" s="1964" t="s">
        <v>1619</v>
      </c>
      <c r="D5" s="1042">
        <f ca="1">结果表!H101</f>
        <v>5336</v>
      </c>
      <c r="E5" s="1961"/>
    </row>
    <row r="6" spans="1:5" ht="15.75">
      <c r="A6" s="1961"/>
      <c r="B6" s="2973"/>
      <c r="C6" s="1964" t="s">
        <v>1620</v>
      </c>
      <c r="D6" s="1042" t="str">
        <f ca="1">NUMBERSTRING(INT(D5*10000),2)&amp;"元整"</f>
        <v>伍仟叁佰叁拾陆万元整</v>
      </c>
      <c r="E6" s="1961"/>
    </row>
    <row r="7" spans="1:5" ht="15.75">
      <c r="A7" s="1961"/>
      <c r="B7" s="2978"/>
      <c r="C7" s="1965" t="s">
        <v>1621</v>
      </c>
      <c r="D7" s="1043">
        <f ca="1">结果表!H102</f>
        <v>2966</v>
      </c>
      <c r="E7" s="1961"/>
    </row>
    <row r="8" spans="1:5" ht="15.75">
      <c r="A8" s="1961"/>
      <c r="B8" s="2979" t="str">
        <f>结果表!E103</f>
        <v>2.估价师知悉的法定优先受偿款</v>
      </c>
      <c r="C8" s="1966" t="s">
        <v>1622</v>
      </c>
      <c r="D8" s="1043">
        <f>结果表!H103</f>
        <v>0</v>
      </c>
      <c r="E8" s="1961"/>
    </row>
    <row r="9" spans="1:5" ht="15.75">
      <c r="A9" s="1961"/>
      <c r="B9" s="2981"/>
      <c r="C9" s="1964" t="s">
        <v>1620</v>
      </c>
      <c r="D9" s="1042" t="str">
        <f>NUMBERSTRING(INT(D8*10000),2)&amp;"元整"</f>
        <v>零元整</v>
      </c>
      <c r="E9" s="1961"/>
    </row>
    <row r="10" spans="1:5" ht="15">
      <c r="A10" s="1961"/>
      <c r="B10" s="1967" t="s">
        <v>1625</v>
      </c>
      <c r="C10" s="1968" t="s">
        <v>1623</v>
      </c>
      <c r="D10" s="1044">
        <f>结果表!H104</f>
        <v>0</v>
      </c>
      <c r="E10" s="1961"/>
    </row>
    <row r="11" spans="1:5" ht="15">
      <c r="A11" s="1961"/>
      <c r="B11" s="1967" t="s">
        <v>1627</v>
      </c>
      <c r="C11" s="1968" t="s">
        <v>1628</v>
      </c>
      <c r="D11" s="1044">
        <f>结果表!H105</f>
        <v>0</v>
      </c>
      <c r="E11" s="1961"/>
    </row>
    <row r="12" spans="1:5" ht="15">
      <c r="A12" s="1961"/>
      <c r="B12" s="1967" t="s">
        <v>1629</v>
      </c>
      <c r="C12" s="1968" t="s">
        <v>1628</v>
      </c>
      <c r="D12" s="1044">
        <f>结果表!H106</f>
        <v>0</v>
      </c>
      <c r="E12" s="1961"/>
    </row>
    <row r="13" spans="1:5" ht="15.75">
      <c r="A13" s="1961"/>
      <c r="B13" s="2972" t="str">
        <f>结果表!E107</f>
        <v>3.房地产抵押价值</v>
      </c>
      <c r="C13" s="1969" t="s">
        <v>1619</v>
      </c>
      <c r="D13" s="1045">
        <f ca="1">结果表!H107</f>
        <v>5336</v>
      </c>
      <c r="E13" s="1961"/>
    </row>
    <row r="14" spans="1:5" ht="15.75">
      <c r="A14" s="1961"/>
      <c r="B14" s="2973"/>
      <c r="C14" s="1964" t="s">
        <v>1620</v>
      </c>
      <c r="D14" s="1042" t="str">
        <f ca="1">NUMBERSTRING(INT(D13*10000),2)&amp;"元整"</f>
        <v>伍仟叁佰叁拾陆万元整</v>
      </c>
      <c r="E14" s="1961"/>
    </row>
    <row r="15" spans="1:5" ht="15">
      <c r="A15" s="1961"/>
      <c r="B15" s="2978"/>
      <c r="C15" s="1965" t="s">
        <v>1630</v>
      </c>
      <c r="D15" s="1054">
        <f ca="1">结果表!H108</f>
        <v>2966</v>
      </c>
      <c r="E15" s="1961"/>
    </row>
    <row r="16" spans="1:5" ht="15">
      <c r="A16" s="1961"/>
      <c r="B16" s="2979" t="str">
        <f>结果表!E109</f>
        <v>——</v>
      </c>
      <c r="C16" s="1969" t="s">
        <v>1631</v>
      </c>
      <c r="D16" s="1970" t="str">
        <f>结果表!H109</f>
        <v>——</v>
      </c>
      <c r="E16" s="1961"/>
    </row>
    <row r="17" spans="1:5" ht="15.75">
      <c r="A17" s="1961"/>
      <c r="B17" s="2980"/>
      <c r="C17" s="1964" t="s">
        <v>1632</v>
      </c>
      <c r="D17" s="1042" t="e">
        <f>NUMBERSTRING(INT(D16*10000),2)&amp;"元整"</f>
        <v>#VALUE!</v>
      </c>
      <c r="E17" s="1961"/>
    </row>
    <row r="18" spans="1:5" ht="15">
      <c r="A18" s="1961"/>
      <c r="B18" s="2981"/>
      <c r="C18" s="1965" t="s">
        <v>1621</v>
      </c>
      <c r="D18" s="1054" t="str">
        <f>结果表!H110</f>
        <v>——</v>
      </c>
      <c r="E18" s="1961"/>
    </row>
    <row r="19" spans="1:5" ht="15.75">
      <c r="A19" s="1961"/>
      <c r="B19" s="2972" t="str">
        <f>结果表!E111</f>
        <v>——</v>
      </c>
      <c r="C19" s="1969" t="s">
        <v>1619</v>
      </c>
      <c r="D19" s="1043" t="str">
        <f>结果表!H111</f>
        <v>——</v>
      </c>
      <c r="E19" s="1961"/>
    </row>
    <row r="20" spans="1:5" ht="15.75">
      <c r="A20" s="1961"/>
      <c r="B20" s="2973"/>
      <c r="C20" s="1964" t="s">
        <v>1632</v>
      </c>
      <c r="D20" s="1042" t="e">
        <f>NUMBERSTRING(INT(D19*10000),2)&amp;"元整"</f>
        <v>#VALUE!</v>
      </c>
      <c r="E20" s="1961"/>
    </row>
    <row r="21" spans="1:5" ht="15.75" thickBot="1">
      <c r="A21" s="1961"/>
      <c r="B21" s="2974"/>
      <c r="C21" s="1971" t="s">
        <v>1630</v>
      </c>
      <c r="D21" s="1055"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30273</v>
      </c>
      <c r="C2" s="2" t="s">
        <v>133</v>
      </c>
      <c r="D2" s="242"/>
      <c r="E2" s="242"/>
      <c r="F2" s="242"/>
      <c r="G2" s="242"/>
    </row>
    <row r="3" spans="1:7" s="243" customFormat="1" ht="18" customHeight="1" thickBot="1">
      <c r="A3" s="246" t="s">
        <v>85</v>
      </c>
      <c r="B3" s="247">
        <f ca="1">ROUND(B2*10000/'数据-汇总表'!E3,0)</f>
        <v>16830</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17987.810000000001</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324</v>
      </c>
      <c r="D19" s="1038">
        <f>'数据-汇总表'!E3</f>
        <v>17987.810000000001</v>
      </c>
      <c r="E19" s="254">
        <f>'数据-取费表'!B31</f>
        <v>180</v>
      </c>
      <c r="F19" s="274"/>
      <c r="G19" s="1" t="s">
        <v>1071</v>
      </c>
    </row>
    <row r="20" spans="1:7" s="257" customFormat="1" ht="13.5" customHeight="1">
      <c r="A20" s="950" t="s">
        <v>1054</v>
      </c>
      <c r="B20" s="253" t="s">
        <v>104</v>
      </c>
      <c r="C20" s="275">
        <f>ROUND((C5+C19)*F20,0)</f>
        <v>419</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920</v>
      </c>
      <c r="D22" s="278">
        <f ca="1">C26</f>
        <v>4.0000000000000002E-4</v>
      </c>
      <c r="E22" s="279" t="s">
        <v>126</v>
      </c>
      <c r="F22" s="280">
        <f ca="1">'数据-取费表'!B40</f>
        <v>4.3499999999999997E-2</v>
      </c>
      <c r="G22" s="1291" t="str">
        <f>IF('数据-取费表'!B22&lt;=1,"单利计息","复利计息")</f>
        <v>单利计息</v>
      </c>
    </row>
    <row r="23" spans="1:7" s="257" customFormat="1" ht="13.5" customHeight="1">
      <c r="A23" s="953" t="s">
        <v>794</v>
      </c>
      <c r="B23" s="258" t="s">
        <v>1058</v>
      </c>
      <c r="C23" s="1357">
        <f ca="1">ROUND(IF('数据-取费表'!B22&lt;=1,C5*F22*'数据-取费表'!B23,C5*(POWER((1+F22),'数据-取费表'!B23)-1)),0)</f>
        <v>897</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14</v>
      </c>
      <c r="D24" s="281"/>
      <c r="E24" s="281"/>
      <c r="F24" s="282"/>
      <c r="G24" s="283" t="s">
        <v>109</v>
      </c>
    </row>
    <row r="25" spans="1:7" s="257" customFormat="1" ht="24">
      <c r="A25" s="953" t="s">
        <v>793</v>
      </c>
      <c r="B25" s="258" t="s">
        <v>1055</v>
      </c>
      <c r="C25" s="1357">
        <f ca="1">ROUND(IF('数据-取费表'!B22&lt;=1,C20*F22*'数据-取费表'!B23/2,C20*(POWER((1+F22),'数据-取费表'!B23/2)-1)),0)</f>
        <v>9</v>
      </c>
      <c r="D25" s="281"/>
      <c r="E25" s="284"/>
      <c r="F25" s="282"/>
      <c r="G25" s="285" t="s">
        <v>110</v>
      </c>
    </row>
    <row r="26" spans="1:7" s="257" customFormat="1">
      <c r="A26" s="953" t="s">
        <v>795</v>
      </c>
      <c r="B26" s="258" t="s">
        <v>1057</v>
      </c>
      <c r="C26" s="281">
        <f ca="1">ROUND(IF('数据-取费表'!B22&lt;=1,F21*F22*'数据-取费表'!B23/2,F21*(POWER((1+F22),'数据-取费表'!B23/2)-1)),4)</f>
        <v>4.0000000000000002E-4</v>
      </c>
      <c r="D26" s="281"/>
      <c r="E26" s="284"/>
      <c r="F26" s="282"/>
      <c r="G26" s="286"/>
    </row>
    <row r="27" spans="1:7" s="257" customFormat="1" ht="24.75">
      <c r="A27" s="950" t="s">
        <v>787</v>
      </c>
      <c r="B27" s="287" t="s">
        <v>112</v>
      </c>
      <c r="C27" s="288">
        <f>C28</f>
        <v>2135</v>
      </c>
      <c r="D27" s="278">
        <f>C29</f>
        <v>2E-3</v>
      </c>
      <c r="E27" s="279" t="s">
        <v>126</v>
      </c>
      <c r="F27" s="289">
        <f>'数据-取费表'!Q16</f>
        <v>0.1</v>
      </c>
      <c r="G27" s="290" t="s">
        <v>1066</v>
      </c>
    </row>
    <row r="28" spans="1:7" s="257" customFormat="1" ht="13.5" customHeight="1">
      <c r="A28" s="953" t="s">
        <v>794</v>
      </c>
      <c r="B28" s="291" t="s">
        <v>1059</v>
      </c>
      <c r="C28" s="292">
        <f>ROUND((C5+C19+C20)*F27*'数据-取费表'!B21/'数据-取费表'!B20,0)</f>
        <v>2135</v>
      </c>
      <c r="D28" s="278"/>
      <c r="E28" s="279"/>
      <c r="F28" s="289"/>
      <c r="G28" s="290"/>
    </row>
    <row r="29" spans="1:7" s="257" customFormat="1" ht="13.5" customHeight="1">
      <c r="A29" s="953" t="s">
        <v>792</v>
      </c>
      <c r="B29" s="291" t="s">
        <v>1060</v>
      </c>
      <c r="C29" s="281">
        <f>ROUND(C21*F27*'数据-取费表'!B21/'数据-取费表'!B20,4)</f>
        <v>2E-3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26381</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3179</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2698</v>
      </c>
      <c r="D34" s="260"/>
      <c r="E34" s="263"/>
      <c r="F34" s="300">
        <f>IF('数据-取费表'!B24=0,1,'数据-取费表'!N16)</f>
        <v>1</v>
      </c>
      <c r="G34" s="262" t="s">
        <v>116</v>
      </c>
    </row>
    <row r="35" spans="1:7" ht="13.5" customHeight="1">
      <c r="A35" s="953" t="s">
        <v>796</v>
      </c>
      <c r="B35" s="258" t="s">
        <v>60</v>
      </c>
      <c r="C35" s="263">
        <f>ROUND(C34*F35,0)</f>
        <v>81</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0.02</v>
      </c>
      <c r="G36" s="303" t="s">
        <v>62</v>
      </c>
    </row>
    <row r="37" spans="1:7" s="301" customFormat="1" ht="13.5" customHeight="1">
      <c r="A37" s="953" t="s">
        <v>798</v>
      </c>
      <c r="B37" s="258" t="s">
        <v>118</v>
      </c>
      <c r="C37" s="292">
        <f>ROUND(E37*D37*F34/10000,0)</f>
        <v>360</v>
      </c>
      <c r="D37" s="260">
        <f>'数据-汇总表'!E3</f>
        <v>17987.810000000001</v>
      </c>
      <c r="E37" s="292">
        <f>'数据-取费表'!B35</f>
        <v>200</v>
      </c>
      <c r="F37" s="302"/>
      <c r="G37" s="304" t="s">
        <v>119</v>
      </c>
    </row>
    <row r="38" spans="1:7" ht="13.5" customHeight="1">
      <c r="A38" s="953" t="s">
        <v>799</v>
      </c>
      <c r="B38" s="258" t="s">
        <v>63</v>
      </c>
      <c r="C38" s="263">
        <f>ROUND(C34*F38,0)</f>
        <v>40</v>
      </c>
      <c r="D38" s="263"/>
      <c r="E38" s="263"/>
      <c r="F38" s="302">
        <f>'数据-取费表'!B36</f>
        <v>1.4999999999999999E-2</v>
      </c>
      <c r="G38" s="262" t="s">
        <v>117</v>
      </c>
    </row>
    <row r="39" spans="1:7" s="257" customFormat="1" ht="13.5" customHeight="1">
      <c r="A39" s="950" t="s">
        <v>783</v>
      </c>
      <c r="B39" s="253" t="s">
        <v>104</v>
      </c>
      <c r="C39" s="275">
        <f>ROUND(C33*F20,0)</f>
        <v>64</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70</v>
      </c>
      <c r="D41" s="278">
        <f ca="1">C44</f>
        <v>4.0000000000000002E-4</v>
      </c>
      <c r="E41" s="279" t="s">
        <v>129</v>
      </c>
      <c r="F41" s="280"/>
      <c r="G41" s="1291" t="str">
        <f>IF('数据-取费表'!B22&lt;=1,"单利计息","复利计息")</f>
        <v>单利计息</v>
      </c>
    </row>
    <row r="42" spans="1:7" ht="13.5" customHeight="1">
      <c r="A42" s="953" t="s">
        <v>794</v>
      </c>
      <c r="B42" s="258" t="s">
        <v>1058</v>
      </c>
      <c r="C42" s="281">
        <f ca="1">ROUND(IF('数据-取费表'!B22&lt;=1,C33*F22*'数据-取费表'!B21/2,C33*(POWER((1+F22),'数据-取费表'!B21/2)-1)),0)</f>
        <v>69</v>
      </c>
      <c r="D42" s="281"/>
      <c r="E42" s="281"/>
      <c r="F42" s="282"/>
      <c r="G42" s="3201" t="s">
        <v>121</v>
      </c>
    </row>
    <row r="43" spans="1:7" ht="13.5" customHeight="1">
      <c r="A43" s="953" t="s">
        <v>792</v>
      </c>
      <c r="B43" s="258" t="s">
        <v>1061</v>
      </c>
      <c r="C43" s="281">
        <f ca="1">ROUND(IF('数据-取费表'!B22&lt;=1,C39*F22*'数据-取费表'!B21/2,C39*(POWER((1+F22),'数据-取费表'!B21/2)-1)),0)</f>
        <v>1</v>
      </c>
      <c r="D43" s="281"/>
      <c r="E43" s="281"/>
      <c r="F43" s="282"/>
      <c r="G43" s="3202"/>
    </row>
    <row r="44" spans="1:7" ht="13.5" customHeight="1">
      <c r="A44" s="953" t="s">
        <v>793</v>
      </c>
      <c r="B44" s="258" t="s">
        <v>1063</v>
      </c>
      <c r="C44" s="281">
        <f ca="1">ROUND(IF('数据-取费表'!B22&lt;=1,C40*F22*'数据-取费表'!B21/2,C40*(POWER((1+F22),'数据-取费表'!B21/2)-1)),4)</f>
        <v>4.0000000000000002E-4</v>
      </c>
      <c r="D44" s="281"/>
      <c r="E44" s="281"/>
      <c r="F44" s="282"/>
      <c r="G44" s="3203"/>
    </row>
    <row r="45" spans="1:7" s="257" customFormat="1" ht="13.5" customHeight="1">
      <c r="A45" s="950" t="s">
        <v>786</v>
      </c>
      <c r="B45" s="287" t="s">
        <v>112</v>
      </c>
      <c r="C45" s="288">
        <f>C46</f>
        <v>324</v>
      </c>
      <c r="D45" s="278">
        <f>C47</f>
        <v>2E-3</v>
      </c>
      <c r="E45" s="279" t="s">
        <v>129</v>
      </c>
      <c r="F45" s="289"/>
      <c r="G45" s="290" t="s">
        <v>1069</v>
      </c>
    </row>
    <row r="46" spans="1:7" s="257" customFormat="1" ht="13.5" customHeight="1">
      <c r="A46" s="953" t="s">
        <v>794</v>
      </c>
      <c r="B46" s="291" t="s">
        <v>1062</v>
      </c>
      <c r="C46" s="292">
        <f>ROUND((C33+C39)*F27,0)</f>
        <v>324</v>
      </c>
      <c r="D46" s="306"/>
      <c r="E46" s="279"/>
      <c r="F46" s="289"/>
      <c r="G46" s="290"/>
    </row>
    <row r="47" spans="1:7" s="257" customFormat="1" ht="13.5" customHeight="1">
      <c r="A47" s="953" t="s">
        <v>792</v>
      </c>
      <c r="B47" s="291" t="s">
        <v>1064</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3931</v>
      </c>
      <c r="D49" s="275"/>
      <c r="E49" s="275"/>
      <c r="F49" s="307"/>
      <c r="G49" s="277" t="s">
        <v>1070</v>
      </c>
    </row>
    <row r="50" spans="1:7" s="301" customFormat="1" ht="24">
      <c r="A50" s="950" t="s">
        <v>789</v>
      </c>
      <c r="B50" s="253" t="s">
        <v>124</v>
      </c>
      <c r="C50" s="275"/>
      <c r="D50" s="275"/>
      <c r="E50" s="275"/>
      <c r="F50" s="307">
        <f>IF('数据-取费表'!B24=0,'数据-取费表'!N16,1)</f>
        <v>0.99</v>
      </c>
      <c r="G50" s="290" t="s">
        <v>125</v>
      </c>
    </row>
    <row r="51" spans="1:7" ht="16.5" customHeight="1">
      <c r="A51" s="950" t="s">
        <v>790</v>
      </c>
      <c r="B51" s="253" t="s">
        <v>132</v>
      </c>
      <c r="C51" s="275">
        <f ca="1">ROUND(C49*F50,0)</f>
        <v>3892</v>
      </c>
      <c r="D51" s="275"/>
      <c r="E51" s="275"/>
      <c r="F51" s="307"/>
      <c r="G51" s="277" t="s">
        <v>64</v>
      </c>
    </row>
    <row r="52" spans="1:7" s="251" customFormat="1" ht="16.5" thickBot="1">
      <c r="A52" s="308" t="s">
        <v>65</v>
      </c>
      <c r="B52" s="309"/>
      <c r="C52" s="310">
        <f ca="1">C31+C51</f>
        <v>30273</v>
      </c>
      <c r="D52" s="309"/>
      <c r="E52" s="309"/>
      <c r="F52" s="309"/>
      <c r="G52" s="311"/>
    </row>
    <row r="55" spans="1:7" ht="15">
      <c r="B55" s="313" t="s">
        <v>66</v>
      </c>
      <c r="C55" s="314"/>
    </row>
    <row r="56" spans="1:7">
      <c r="B56" s="316" t="s">
        <v>67</v>
      </c>
      <c r="C56" s="317">
        <f ca="1">ROUND(C51/C52,3)</f>
        <v>0.129</v>
      </c>
    </row>
    <row r="57" spans="1:7">
      <c r="B57" s="316" t="s">
        <v>68</v>
      </c>
      <c r="C57" s="318">
        <f ca="1">1-C56</f>
        <v>0.871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3" t="s">
        <v>156</v>
      </c>
      <c r="B1" s="3293"/>
      <c r="C1" s="3293"/>
      <c r="D1" s="3293"/>
      <c r="E1" s="3293"/>
      <c r="F1" s="329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4" t="s">
        <v>169</v>
      </c>
      <c r="B2" s="3294"/>
      <c r="C2" s="3294"/>
      <c r="D2" s="3294"/>
      <c r="E2" s="3294"/>
      <c r="F2" s="329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3" t="s">
        <v>868</v>
      </c>
      <c r="B1" s="3293"/>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43487</v>
      </c>
      <c r="D1" s="1702" t="s">
        <v>1297</v>
      </c>
      <c r="E1" s="1697">
        <f>'数据-取费表'!B22</f>
        <v>1</v>
      </c>
      <c r="F1" s="1702" t="s">
        <v>1298</v>
      </c>
      <c r="G1" s="1698">
        <f ca="1">INDIRECT("d"&amp;$K$1)/100</f>
        <v>4.3499999999999997E-2</v>
      </c>
      <c r="H1" s="1702" t="s">
        <v>1328</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5" sqref="D5"/>
    </sheetView>
  </sheetViews>
  <sheetFormatPr defaultRowHeight="13.5"/>
  <sheetData>
    <row r="1" spans="1:4">
      <c r="A1" s="2962" t="s">
        <v>3085</v>
      </c>
      <c r="B1">
        <v>0.5</v>
      </c>
      <c r="C1">
        <f>'数据-取费表'!L19</f>
        <v>13057.44</v>
      </c>
      <c r="D1">
        <f>ROUND(C1*B1,0)</f>
        <v>6529</v>
      </c>
    </row>
    <row r="2" spans="1:4">
      <c r="A2" s="2962" t="s">
        <v>3086</v>
      </c>
      <c r="B2">
        <v>1</v>
      </c>
      <c r="C2">
        <f>'数据-取费表'!L20</f>
        <v>4930.37</v>
      </c>
      <c r="D2">
        <f>ROUND(C2*B2,0)</f>
        <v>4930</v>
      </c>
    </row>
    <row r="3" spans="1:4">
      <c r="C3">
        <f>'数据-取费表'!L21</f>
        <v>17987.810000000001</v>
      </c>
      <c r="D3">
        <f>SUM(D1:D2)</f>
        <v>11459</v>
      </c>
    </row>
    <row r="4" spans="1:4">
      <c r="D4">
        <f>ROUND(D3/C3,1)</f>
        <v>0.6</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
  <sheetViews>
    <sheetView workbookViewId="0">
      <selection activeCell="AC27" sqref="AC27"/>
    </sheetView>
  </sheetViews>
  <sheetFormatPr defaultRowHeight="13.5"/>
  <cols>
    <col min="1" max="1" width="12.125" customWidth="1"/>
    <col min="2" max="2" width="6.875" customWidth="1"/>
    <col min="4" max="4" width="5.75" customWidth="1"/>
    <col min="5" max="5" width="0" hidden="1" customWidth="1"/>
    <col min="6" max="6" width="7.375" customWidth="1"/>
    <col min="7" max="7" width="4.75" customWidth="1"/>
    <col min="8" max="8" width="0" hidden="1" customWidth="1"/>
    <col min="12" max="12" width="5.875" customWidth="1"/>
    <col min="13" max="22" width="0" hidden="1" customWidth="1"/>
    <col min="24" max="26" width="0" hidden="1" customWidth="1"/>
    <col min="31" max="32" width="0" hidden="1" customWidth="1"/>
    <col min="34" max="34" width="0" hidden="1" customWidth="1"/>
    <col min="36" max="36" width="0" hidden="1" customWidth="1"/>
    <col min="38" max="39" width="0" hidden="1" customWidth="1"/>
    <col min="42" max="44" width="0" hidden="1" customWidth="1"/>
  </cols>
  <sheetData>
    <row r="1" spans="1:45" s="1637" customFormat="1">
      <c r="A1" s="1637" t="s">
        <v>3090</v>
      </c>
      <c r="B1" s="1637" t="s">
        <v>3091</v>
      </c>
      <c r="C1" s="1637" t="s">
        <v>3092</v>
      </c>
      <c r="D1" s="1637" t="s">
        <v>3093</v>
      </c>
      <c r="E1" s="1637" t="s">
        <v>3094</v>
      </c>
      <c r="F1" s="1637" t="s">
        <v>3095</v>
      </c>
      <c r="G1" s="1637" t="s">
        <v>3096</v>
      </c>
      <c r="H1" s="1637" t="s">
        <v>3097</v>
      </c>
      <c r="I1" s="1637" t="s">
        <v>3098</v>
      </c>
      <c r="J1" s="1637" t="s">
        <v>3099</v>
      </c>
      <c r="K1" s="1637" t="s">
        <v>3100</v>
      </c>
      <c r="L1" s="1637" t="s">
        <v>3101</v>
      </c>
      <c r="M1" s="1637" t="s">
        <v>3102</v>
      </c>
      <c r="N1" s="1637" t="s">
        <v>3103</v>
      </c>
      <c r="O1" s="1637" t="s">
        <v>3104</v>
      </c>
      <c r="P1" s="1637" t="s">
        <v>3105</v>
      </c>
      <c r="Q1" s="1637" t="s">
        <v>3106</v>
      </c>
      <c r="R1" s="1637" t="s">
        <v>3107</v>
      </c>
      <c r="S1" s="1637" t="s">
        <v>3108</v>
      </c>
      <c r="T1" s="1637" t="s">
        <v>3109</v>
      </c>
      <c r="U1" s="1637" t="s">
        <v>3110</v>
      </c>
      <c r="V1" s="1637" t="s">
        <v>3111</v>
      </c>
      <c r="W1" s="1637" t="s">
        <v>3112</v>
      </c>
      <c r="X1" s="1637" t="s">
        <v>3113</v>
      </c>
      <c r="Y1" s="1637" t="s">
        <v>3114</v>
      </c>
      <c r="Z1" s="1637" t="s">
        <v>3115</v>
      </c>
      <c r="AA1" s="1637" t="s">
        <v>3116</v>
      </c>
      <c r="AB1" s="1637" t="s">
        <v>3117</v>
      </c>
      <c r="AC1" s="1637" t="s">
        <v>3118</v>
      </c>
      <c r="AD1" s="1637" t="s">
        <v>3119</v>
      </c>
      <c r="AE1" s="1637" t="s">
        <v>3120</v>
      </c>
      <c r="AF1" s="1637" t="s">
        <v>3121</v>
      </c>
      <c r="AG1" s="1637" t="s">
        <v>3122</v>
      </c>
      <c r="AH1" s="1637" t="s">
        <v>3123</v>
      </c>
      <c r="AI1" s="1637" t="s">
        <v>3124</v>
      </c>
      <c r="AJ1" s="1637" t="s">
        <v>3125</v>
      </c>
      <c r="AK1" s="1637" t="s">
        <v>3126</v>
      </c>
      <c r="AL1" s="1637" t="s">
        <v>3127</v>
      </c>
      <c r="AM1" s="1637" t="s">
        <v>3128</v>
      </c>
      <c r="AN1" s="2969" t="s">
        <v>3318</v>
      </c>
      <c r="AO1" s="1637" t="s">
        <v>3130</v>
      </c>
      <c r="AP1" s="1637" t="s">
        <v>3131</v>
      </c>
      <c r="AQ1" s="1637" t="s">
        <v>3132</v>
      </c>
      <c r="AR1" s="1637" t="s">
        <v>3133</v>
      </c>
      <c r="AS1" s="1637" t="s">
        <v>3134</v>
      </c>
    </row>
    <row r="2" spans="1:45" s="1637" customFormat="1">
      <c r="A2" s="1637" t="s">
        <v>3151</v>
      </c>
      <c r="B2" s="1637" t="s">
        <v>3136</v>
      </c>
      <c r="C2" s="1637" t="s">
        <v>3137</v>
      </c>
      <c r="D2" s="1637" t="s">
        <v>3138</v>
      </c>
      <c r="E2" s="1637" t="s">
        <v>1327</v>
      </c>
      <c r="F2" s="1637" t="s">
        <v>3151</v>
      </c>
      <c r="G2" s="1637" t="s">
        <v>3139</v>
      </c>
      <c r="H2" s="1637">
        <v>2018027</v>
      </c>
      <c r="I2" s="1637" t="s">
        <v>3152</v>
      </c>
      <c r="J2" s="1637">
        <v>11442.82</v>
      </c>
      <c r="K2" s="1637">
        <v>11442.82</v>
      </c>
      <c r="L2" s="1637">
        <v>1</v>
      </c>
      <c r="M2" s="1637" t="s">
        <v>1327</v>
      </c>
      <c r="N2" s="1637" t="s">
        <v>3153</v>
      </c>
      <c r="O2" s="1637" t="s">
        <v>1327</v>
      </c>
      <c r="P2" s="1637" t="s">
        <v>1327</v>
      </c>
      <c r="Q2" s="1637" t="s">
        <v>1327</v>
      </c>
      <c r="R2" s="1637" t="s">
        <v>1327</v>
      </c>
      <c r="S2" s="1637" t="s">
        <v>1327</v>
      </c>
      <c r="T2" s="1637" t="s">
        <v>1327</v>
      </c>
      <c r="U2" s="1637" t="s">
        <v>1327</v>
      </c>
      <c r="V2" s="1637" t="s">
        <v>1327</v>
      </c>
      <c r="W2" s="1637" t="s">
        <v>3142</v>
      </c>
      <c r="X2" s="1637" t="s">
        <v>3143</v>
      </c>
      <c r="Y2" s="1637" t="s">
        <v>3144</v>
      </c>
      <c r="Z2" s="1637" t="s">
        <v>3145</v>
      </c>
      <c r="AA2" s="1637" t="s">
        <v>3145</v>
      </c>
      <c r="AB2" s="1637" t="s">
        <v>3146</v>
      </c>
      <c r="AC2" s="1637" t="s">
        <v>3147</v>
      </c>
      <c r="AD2" s="1637" t="s">
        <v>3154</v>
      </c>
      <c r="AE2" s="1637">
        <v>520</v>
      </c>
      <c r="AF2" s="1637">
        <v>520</v>
      </c>
      <c r="AG2" s="1637">
        <v>520</v>
      </c>
      <c r="AH2" s="1637">
        <v>30.3</v>
      </c>
      <c r="AI2" s="1637">
        <v>30.3</v>
      </c>
      <c r="AJ2" s="1637">
        <v>454.43</v>
      </c>
      <c r="AK2" s="1637">
        <v>454.43</v>
      </c>
      <c r="AL2" s="1637" t="s">
        <v>1327</v>
      </c>
      <c r="AM2" s="1637" t="s">
        <v>1327</v>
      </c>
      <c r="AN2" s="1637">
        <f>ROUND(AG2*10000/J2,0)</f>
        <v>454</v>
      </c>
      <c r="AO2" s="1637" t="s">
        <v>3149</v>
      </c>
      <c r="AP2" s="1637" t="s">
        <v>1327</v>
      </c>
      <c r="AQ2" s="1637" t="s">
        <v>1327</v>
      </c>
      <c r="AR2" s="1637" t="s">
        <v>1327</v>
      </c>
      <c r="AS2" s="1637" t="s">
        <v>3150</v>
      </c>
    </row>
    <row r="3" spans="1:45" s="1637" customFormat="1">
      <c r="A3" s="1637" t="s">
        <v>3167</v>
      </c>
      <c r="B3" s="1637" t="s">
        <v>3136</v>
      </c>
      <c r="C3" s="1637" t="s">
        <v>3137</v>
      </c>
      <c r="D3" s="1637" t="s">
        <v>3138</v>
      </c>
      <c r="E3" s="1637" t="s">
        <v>1327</v>
      </c>
      <c r="F3" s="1637" t="s">
        <v>3167</v>
      </c>
      <c r="G3" s="1637" t="s">
        <v>3139</v>
      </c>
      <c r="H3" s="1637">
        <v>2018009</v>
      </c>
      <c r="I3" s="1637" t="s">
        <v>3137</v>
      </c>
      <c r="J3" s="1637">
        <v>10012</v>
      </c>
      <c r="K3" s="1637">
        <v>10012</v>
      </c>
      <c r="L3" s="1637">
        <v>1</v>
      </c>
      <c r="M3" s="1637" t="s">
        <v>1327</v>
      </c>
      <c r="N3" s="1637" t="s">
        <v>3141</v>
      </c>
      <c r="O3" s="1637" t="s">
        <v>1327</v>
      </c>
      <c r="P3" s="1637" t="s">
        <v>1327</v>
      </c>
      <c r="Q3" s="1637" t="s">
        <v>1327</v>
      </c>
      <c r="R3" s="1637" t="s">
        <v>1327</v>
      </c>
      <c r="S3" s="1637" t="s">
        <v>1327</v>
      </c>
      <c r="T3" s="1637" t="s">
        <v>1327</v>
      </c>
      <c r="U3" s="1637" t="s">
        <v>1327</v>
      </c>
      <c r="V3" s="1637" t="s">
        <v>1327</v>
      </c>
      <c r="W3" s="1637" t="s">
        <v>3142</v>
      </c>
      <c r="X3" s="1637" t="s">
        <v>3162</v>
      </c>
      <c r="Y3" s="1637" t="s">
        <v>3163</v>
      </c>
      <c r="Z3" s="1637" t="s">
        <v>3164</v>
      </c>
      <c r="AA3" s="1637" t="s">
        <v>3164</v>
      </c>
      <c r="AB3" s="1637" t="s">
        <v>3165</v>
      </c>
      <c r="AC3" s="1637" t="s">
        <v>3147</v>
      </c>
      <c r="AD3" s="1637" t="s">
        <v>3166</v>
      </c>
      <c r="AE3" s="1637">
        <v>456</v>
      </c>
      <c r="AF3" s="1637">
        <v>456</v>
      </c>
      <c r="AG3" s="1637">
        <v>456</v>
      </c>
      <c r="AH3" s="1637">
        <v>30.36</v>
      </c>
      <c r="AI3" s="1637">
        <v>30.36</v>
      </c>
      <c r="AJ3" s="1637">
        <v>455.45</v>
      </c>
      <c r="AK3" s="1637">
        <v>455.44</v>
      </c>
      <c r="AL3" s="1637" t="s">
        <v>1327</v>
      </c>
      <c r="AM3" s="1637" t="s">
        <v>1327</v>
      </c>
      <c r="AN3" s="1637">
        <f>ROUND(AG3*10000/J3,0)</f>
        <v>455</v>
      </c>
      <c r="AO3" s="1637" t="s">
        <v>3149</v>
      </c>
      <c r="AP3" s="1637" t="s">
        <v>1327</v>
      </c>
      <c r="AQ3" s="1637" t="s">
        <v>1327</v>
      </c>
      <c r="AR3" s="1637" t="s">
        <v>1327</v>
      </c>
      <c r="AS3" s="1637" t="s">
        <v>3150</v>
      </c>
    </row>
    <row r="4" spans="1:45" s="1637" customFormat="1">
      <c r="A4" s="1637" t="s">
        <v>3169</v>
      </c>
      <c r="B4" s="1637" t="s">
        <v>3136</v>
      </c>
      <c r="C4" s="1637" t="s">
        <v>3137</v>
      </c>
      <c r="D4" s="1637" t="s">
        <v>3138</v>
      </c>
      <c r="E4" s="1637" t="s">
        <v>1327</v>
      </c>
      <c r="F4" s="1637" t="s">
        <v>3169</v>
      </c>
      <c r="G4" s="1637" t="s">
        <v>3139</v>
      </c>
      <c r="H4" s="1637">
        <v>2018034</v>
      </c>
      <c r="I4" s="1637" t="s">
        <v>3137</v>
      </c>
      <c r="J4" s="1637">
        <v>54125.4</v>
      </c>
      <c r="K4" s="1637">
        <v>54125.4</v>
      </c>
      <c r="L4" s="1637">
        <v>1</v>
      </c>
      <c r="M4" s="1637" t="s">
        <v>1327</v>
      </c>
      <c r="N4" s="1637" t="s">
        <v>3141</v>
      </c>
      <c r="O4" s="1637" t="s">
        <v>1327</v>
      </c>
      <c r="P4" s="1637" t="s">
        <v>1327</v>
      </c>
      <c r="Q4" s="1637" t="s">
        <v>1327</v>
      </c>
      <c r="R4" s="1637" t="s">
        <v>1327</v>
      </c>
      <c r="S4" s="1637" t="s">
        <v>1327</v>
      </c>
      <c r="T4" s="1637" t="s">
        <v>1327</v>
      </c>
      <c r="U4" s="1637" t="s">
        <v>1327</v>
      </c>
      <c r="V4" s="1637" t="s">
        <v>1327</v>
      </c>
      <c r="W4" s="1637" t="s">
        <v>3142</v>
      </c>
      <c r="X4" s="1637" t="s">
        <v>3162</v>
      </c>
      <c r="Y4" s="1637" t="s">
        <v>3163</v>
      </c>
      <c r="Z4" s="1637" t="s">
        <v>3164</v>
      </c>
      <c r="AA4" s="1637" t="s">
        <v>3164</v>
      </c>
      <c r="AB4" s="1637" t="s">
        <v>3165</v>
      </c>
      <c r="AC4" s="1637" t="s">
        <v>3147</v>
      </c>
      <c r="AD4" s="1637" t="s">
        <v>3170</v>
      </c>
      <c r="AE4" s="1637">
        <v>2456</v>
      </c>
      <c r="AF4" s="1637">
        <v>2456</v>
      </c>
      <c r="AG4" s="1637">
        <v>2456</v>
      </c>
      <c r="AH4" s="1637">
        <v>30.25</v>
      </c>
      <c r="AI4" s="1637">
        <v>30.25</v>
      </c>
      <c r="AJ4" s="1637">
        <v>453.76</v>
      </c>
      <c r="AK4" s="1637">
        <v>453.75</v>
      </c>
      <c r="AL4" s="1637" t="s">
        <v>1327</v>
      </c>
      <c r="AM4" s="1637" t="s">
        <v>1327</v>
      </c>
      <c r="AN4" s="1637">
        <f>ROUND(AG4*10000/J4,0)</f>
        <v>454</v>
      </c>
      <c r="AO4" s="1637" t="s">
        <v>3149</v>
      </c>
      <c r="AP4" s="1637" t="s">
        <v>1327</v>
      </c>
      <c r="AQ4" s="1637" t="s">
        <v>1327</v>
      </c>
      <c r="AR4" s="1637" t="s">
        <v>1327</v>
      </c>
      <c r="AS4" s="1637" t="s">
        <v>3150</v>
      </c>
    </row>
    <row r="6" spans="1:45" s="1637" customFormat="1">
      <c r="A6" s="1637" t="s">
        <v>3090</v>
      </c>
      <c r="B6" s="1637" t="s">
        <v>3091</v>
      </c>
      <c r="C6" s="1637" t="s">
        <v>3092</v>
      </c>
      <c r="D6" s="1637" t="s">
        <v>3093</v>
      </c>
      <c r="E6" s="1637" t="s">
        <v>3094</v>
      </c>
      <c r="F6" s="1637" t="s">
        <v>3095</v>
      </c>
      <c r="G6" s="1637" t="s">
        <v>3096</v>
      </c>
      <c r="H6" s="1637" t="s">
        <v>3097</v>
      </c>
      <c r="I6" s="1637" t="s">
        <v>3098</v>
      </c>
      <c r="J6" s="1637" t="s">
        <v>3099</v>
      </c>
      <c r="K6" s="1637" t="s">
        <v>3100</v>
      </c>
      <c r="L6" s="1637" t="s">
        <v>3101</v>
      </c>
      <c r="M6" s="1637" t="s">
        <v>3102</v>
      </c>
      <c r="N6" s="1637" t="s">
        <v>3103</v>
      </c>
      <c r="O6" s="1637" t="s">
        <v>3104</v>
      </c>
      <c r="P6" s="1637" t="s">
        <v>3105</v>
      </c>
      <c r="Q6" s="1637" t="s">
        <v>3106</v>
      </c>
      <c r="R6" s="1637" t="s">
        <v>3107</v>
      </c>
      <c r="S6" s="1637" t="s">
        <v>3108</v>
      </c>
      <c r="T6" s="1637" t="s">
        <v>3109</v>
      </c>
      <c r="U6" s="1637" t="s">
        <v>3110</v>
      </c>
      <c r="V6" s="1637" t="s">
        <v>3111</v>
      </c>
      <c r="W6" s="1637" t="s">
        <v>3112</v>
      </c>
      <c r="X6" s="1637" t="s">
        <v>3113</v>
      </c>
      <c r="Y6" s="1637" t="s">
        <v>3114</v>
      </c>
      <c r="Z6" s="1637" t="s">
        <v>3115</v>
      </c>
      <c r="AA6" s="1637" t="s">
        <v>3116</v>
      </c>
      <c r="AB6" s="1637" t="s">
        <v>3117</v>
      </c>
      <c r="AC6" s="1637" t="s">
        <v>3118</v>
      </c>
      <c r="AD6" s="1637" t="s">
        <v>3119</v>
      </c>
      <c r="AE6" s="1637" t="s">
        <v>3120</v>
      </c>
      <c r="AF6" s="1637" t="s">
        <v>3121</v>
      </c>
      <c r="AG6" s="1637" t="s">
        <v>3122</v>
      </c>
      <c r="AH6" s="1637" t="s">
        <v>3123</v>
      </c>
      <c r="AI6" s="1637" t="s">
        <v>3124</v>
      </c>
      <c r="AJ6" s="1637" t="s">
        <v>3125</v>
      </c>
      <c r="AK6" s="1637" t="s">
        <v>3126</v>
      </c>
      <c r="AL6" s="1637" t="s">
        <v>3127</v>
      </c>
      <c r="AM6" s="1637" t="s">
        <v>3128</v>
      </c>
      <c r="AN6" s="1637" t="s">
        <v>3129</v>
      </c>
      <c r="AO6" s="1637" t="s">
        <v>3130</v>
      </c>
      <c r="AP6" s="1637" t="s">
        <v>3131</v>
      </c>
      <c r="AQ6" s="1637" t="s">
        <v>3132</v>
      </c>
      <c r="AR6" s="1637" t="s">
        <v>3133</v>
      </c>
      <c r="AS6" s="1637" t="s">
        <v>3134</v>
      </c>
    </row>
    <row r="7" spans="1:45" s="1637" customFormat="1">
      <c r="A7" s="1637" t="s">
        <v>3135</v>
      </c>
      <c r="B7" s="1637" t="s">
        <v>3136</v>
      </c>
      <c r="C7" s="1637" t="s">
        <v>3137</v>
      </c>
      <c r="D7" s="1637" t="s">
        <v>3138</v>
      </c>
      <c r="E7" s="1637" t="s">
        <v>1327</v>
      </c>
      <c r="F7" s="1637" t="s">
        <v>3135</v>
      </c>
      <c r="G7" s="1637" t="s">
        <v>3139</v>
      </c>
      <c r="H7" s="1637">
        <v>2018040</v>
      </c>
      <c r="I7" s="1637" t="s">
        <v>3137</v>
      </c>
      <c r="J7" s="1637">
        <v>3602</v>
      </c>
      <c r="K7" s="1637">
        <v>3602</v>
      </c>
      <c r="L7" s="1637" t="s">
        <v>3140</v>
      </c>
      <c r="M7" s="1637" t="s">
        <v>1327</v>
      </c>
      <c r="N7" s="1637" t="s">
        <v>3141</v>
      </c>
      <c r="O7" s="1637" t="s">
        <v>1327</v>
      </c>
      <c r="P7" s="1637" t="s">
        <v>1327</v>
      </c>
      <c r="Q7" s="1637" t="s">
        <v>1327</v>
      </c>
      <c r="R7" s="1637" t="s">
        <v>1327</v>
      </c>
      <c r="S7" s="1637" t="s">
        <v>1327</v>
      </c>
      <c r="T7" s="1637" t="s">
        <v>1327</v>
      </c>
      <c r="U7" s="1637" t="s">
        <v>1327</v>
      </c>
      <c r="V7" s="1637" t="s">
        <v>1327</v>
      </c>
      <c r="W7" s="1637" t="s">
        <v>3142</v>
      </c>
      <c r="X7" s="1637" t="s">
        <v>3143</v>
      </c>
      <c r="Y7" s="1637" t="s">
        <v>3144</v>
      </c>
      <c r="Z7" s="1637" t="s">
        <v>3145</v>
      </c>
      <c r="AA7" s="1637" t="s">
        <v>3145</v>
      </c>
      <c r="AB7" s="1637" t="s">
        <v>3146</v>
      </c>
      <c r="AC7" s="1637" t="s">
        <v>3147</v>
      </c>
      <c r="AD7" s="1637" t="s">
        <v>3148</v>
      </c>
      <c r="AE7" s="1637">
        <v>176</v>
      </c>
      <c r="AF7" s="1637">
        <v>176</v>
      </c>
      <c r="AG7" s="1637">
        <v>176</v>
      </c>
      <c r="AH7" s="1637">
        <v>32.57</v>
      </c>
      <c r="AI7" s="1637">
        <v>32.57</v>
      </c>
      <c r="AJ7" s="1637">
        <v>488.61</v>
      </c>
      <c r="AK7" s="1637">
        <v>488.62</v>
      </c>
      <c r="AL7" s="1637" t="s">
        <v>1327</v>
      </c>
      <c r="AM7" s="1637" t="s">
        <v>1327</v>
      </c>
      <c r="AN7" s="1637">
        <v>0</v>
      </c>
      <c r="AO7" s="1637" t="s">
        <v>3149</v>
      </c>
      <c r="AP7" s="1637" t="s">
        <v>1327</v>
      </c>
      <c r="AQ7" s="1637" t="s">
        <v>1327</v>
      </c>
      <c r="AR7" s="1637" t="s">
        <v>1327</v>
      </c>
      <c r="AS7" s="1637" t="s">
        <v>3150</v>
      </c>
    </row>
    <row r="8" spans="1:45" s="1637" customFormat="1">
      <c r="A8" s="1637" t="s">
        <v>3151</v>
      </c>
      <c r="B8" s="1637" t="s">
        <v>3136</v>
      </c>
      <c r="C8" s="1637" t="s">
        <v>3137</v>
      </c>
      <c r="D8" s="1637" t="s">
        <v>3138</v>
      </c>
      <c r="E8" s="1637" t="s">
        <v>1327</v>
      </c>
      <c r="F8" s="1637" t="s">
        <v>3151</v>
      </c>
      <c r="G8" s="1637" t="s">
        <v>3139</v>
      </c>
      <c r="H8" s="1637">
        <v>2018027</v>
      </c>
      <c r="I8" s="1637" t="s">
        <v>3152</v>
      </c>
      <c r="J8" s="1637">
        <v>11442.82</v>
      </c>
      <c r="K8" s="1637">
        <v>11442.82</v>
      </c>
      <c r="L8" s="1637" t="s">
        <v>3140</v>
      </c>
      <c r="M8" s="1637" t="s">
        <v>1327</v>
      </c>
      <c r="N8" s="1637" t="s">
        <v>3153</v>
      </c>
      <c r="O8" s="1637" t="s">
        <v>1327</v>
      </c>
      <c r="P8" s="1637" t="s">
        <v>1327</v>
      </c>
      <c r="Q8" s="1637" t="s">
        <v>1327</v>
      </c>
      <c r="R8" s="1637" t="s">
        <v>1327</v>
      </c>
      <c r="S8" s="1637" t="s">
        <v>1327</v>
      </c>
      <c r="T8" s="1637" t="s">
        <v>1327</v>
      </c>
      <c r="U8" s="1637" t="s">
        <v>1327</v>
      </c>
      <c r="V8" s="1637" t="s">
        <v>1327</v>
      </c>
      <c r="W8" s="1637" t="s">
        <v>3142</v>
      </c>
      <c r="X8" s="1637" t="s">
        <v>3143</v>
      </c>
      <c r="Y8" s="1637" t="s">
        <v>3144</v>
      </c>
      <c r="Z8" s="1637" t="s">
        <v>3145</v>
      </c>
      <c r="AA8" s="1637" t="s">
        <v>3145</v>
      </c>
      <c r="AB8" s="1637" t="s">
        <v>3146</v>
      </c>
      <c r="AC8" s="1637" t="s">
        <v>3147</v>
      </c>
      <c r="AD8" s="1637" t="s">
        <v>3154</v>
      </c>
      <c r="AE8" s="1637">
        <v>520</v>
      </c>
      <c r="AF8" s="1637">
        <v>520</v>
      </c>
      <c r="AG8" s="1637">
        <v>520</v>
      </c>
      <c r="AH8" s="1637">
        <v>30.3</v>
      </c>
      <c r="AI8" s="1637">
        <v>30.3</v>
      </c>
      <c r="AJ8" s="1637">
        <v>454.43</v>
      </c>
      <c r="AK8" s="1637">
        <v>454.43</v>
      </c>
      <c r="AL8" s="1637" t="s">
        <v>1327</v>
      </c>
      <c r="AM8" s="1637" t="s">
        <v>1327</v>
      </c>
      <c r="AN8" s="1637">
        <v>0</v>
      </c>
      <c r="AO8" s="1637" t="s">
        <v>3149</v>
      </c>
      <c r="AP8" s="1637" t="s">
        <v>1327</v>
      </c>
      <c r="AQ8" s="1637" t="s">
        <v>1327</v>
      </c>
      <c r="AR8" s="1637" t="s">
        <v>1327</v>
      </c>
      <c r="AS8" s="1637" t="s">
        <v>3150</v>
      </c>
    </row>
    <row r="9" spans="1:45" s="2964" customFormat="1">
      <c r="A9" s="2964" t="s">
        <v>3155</v>
      </c>
      <c r="B9" s="2964" t="s">
        <v>3136</v>
      </c>
      <c r="C9" s="2964" t="s">
        <v>3137</v>
      </c>
      <c r="D9" s="2964" t="s">
        <v>3138</v>
      </c>
      <c r="E9" s="2964" t="s">
        <v>1327</v>
      </c>
      <c r="F9" s="2964" t="s">
        <v>3155</v>
      </c>
      <c r="G9" s="2964" t="s">
        <v>3139</v>
      </c>
      <c r="H9" s="2964">
        <v>2018037</v>
      </c>
      <c r="I9" s="2964" t="s">
        <v>3137</v>
      </c>
      <c r="J9" s="2964">
        <v>24055</v>
      </c>
      <c r="K9" s="2964">
        <v>24055</v>
      </c>
      <c r="L9" s="2964" t="s">
        <v>3140</v>
      </c>
      <c r="M9" s="2964" t="s">
        <v>1327</v>
      </c>
      <c r="N9" s="2964" t="s">
        <v>3141</v>
      </c>
      <c r="O9" s="2964" t="s">
        <v>1327</v>
      </c>
      <c r="P9" s="2964" t="s">
        <v>1327</v>
      </c>
      <c r="Q9" s="2964" t="s">
        <v>1327</v>
      </c>
      <c r="R9" s="2964" t="s">
        <v>1327</v>
      </c>
      <c r="S9" s="2964" t="s">
        <v>1327</v>
      </c>
      <c r="T9" s="2964" t="s">
        <v>1327</v>
      </c>
      <c r="U9" s="2964" t="s">
        <v>1327</v>
      </c>
      <c r="V9" s="2964" t="s">
        <v>1327</v>
      </c>
      <c r="W9" s="2964" t="s">
        <v>3142</v>
      </c>
      <c r="X9" s="2964" t="s">
        <v>3156</v>
      </c>
      <c r="Y9" s="2964" t="s">
        <v>3157</v>
      </c>
      <c r="Z9" s="2964" t="s">
        <v>3158</v>
      </c>
      <c r="AA9" s="2964" t="s">
        <v>3158</v>
      </c>
      <c r="AB9" s="2964" t="s">
        <v>3159</v>
      </c>
      <c r="AC9" s="2964" t="s">
        <v>3147</v>
      </c>
      <c r="AD9" s="2964" t="s">
        <v>3047</v>
      </c>
      <c r="AE9" s="2964">
        <v>1103</v>
      </c>
      <c r="AF9" s="2964">
        <v>1103</v>
      </c>
      <c r="AG9" s="2964">
        <v>1103</v>
      </c>
      <c r="AH9" s="2964">
        <v>30.57</v>
      </c>
      <c r="AI9" s="2964">
        <v>30.57</v>
      </c>
      <c r="AJ9" s="2964">
        <v>458.53</v>
      </c>
      <c r="AK9" s="2964">
        <v>458.52</v>
      </c>
      <c r="AL9" s="2964" t="s">
        <v>1327</v>
      </c>
      <c r="AM9" s="2964" t="s">
        <v>1327</v>
      </c>
      <c r="AN9" s="2964">
        <v>0</v>
      </c>
      <c r="AO9" s="2964" t="s">
        <v>3149</v>
      </c>
      <c r="AP9" s="2964" t="s">
        <v>1327</v>
      </c>
      <c r="AQ9" s="2964" t="s">
        <v>1327</v>
      </c>
      <c r="AR9" s="2964" t="s">
        <v>1327</v>
      </c>
      <c r="AS9" s="2964" t="s">
        <v>3150</v>
      </c>
    </row>
    <row r="10" spans="1:45" s="2964" customFormat="1">
      <c r="A10" s="2964" t="s">
        <v>3160</v>
      </c>
      <c r="B10" s="2964" t="s">
        <v>3136</v>
      </c>
      <c r="C10" s="2964" t="s">
        <v>3137</v>
      </c>
      <c r="D10" s="2964" t="s">
        <v>3138</v>
      </c>
      <c r="E10" s="2964" t="s">
        <v>1327</v>
      </c>
      <c r="F10" s="2964" t="s">
        <v>3160</v>
      </c>
      <c r="G10" s="2964" t="s">
        <v>3139</v>
      </c>
      <c r="H10" s="2964">
        <v>2018038</v>
      </c>
      <c r="I10" s="2964" t="s">
        <v>3137</v>
      </c>
      <c r="J10" s="2964">
        <v>1961.51</v>
      </c>
      <c r="K10" s="2964">
        <v>1961.51</v>
      </c>
      <c r="L10" s="2964" t="s">
        <v>3140</v>
      </c>
      <c r="M10" s="2964" t="s">
        <v>1327</v>
      </c>
      <c r="N10" s="2964" t="s">
        <v>3141</v>
      </c>
      <c r="O10" s="2964" t="s">
        <v>1327</v>
      </c>
      <c r="P10" s="2964" t="s">
        <v>1327</v>
      </c>
      <c r="Q10" s="2964" t="s">
        <v>1327</v>
      </c>
      <c r="R10" s="2964" t="s">
        <v>1327</v>
      </c>
      <c r="S10" s="2964" t="s">
        <v>1327</v>
      </c>
      <c r="T10" s="2964" t="s">
        <v>1327</v>
      </c>
      <c r="U10" s="2964" t="s">
        <v>1327</v>
      </c>
      <c r="V10" s="2964" t="s">
        <v>1327</v>
      </c>
      <c r="W10" s="2964" t="s">
        <v>3142</v>
      </c>
      <c r="X10" s="2964" t="s">
        <v>3156</v>
      </c>
      <c r="Y10" s="2964" t="s">
        <v>3157</v>
      </c>
      <c r="Z10" s="2964" t="s">
        <v>3158</v>
      </c>
      <c r="AA10" s="2964" t="s">
        <v>3158</v>
      </c>
      <c r="AB10" s="2964" t="s">
        <v>3159</v>
      </c>
      <c r="AC10" s="2964" t="s">
        <v>3147</v>
      </c>
      <c r="AD10" s="2964" t="s">
        <v>3047</v>
      </c>
      <c r="AE10" s="2964">
        <v>91</v>
      </c>
      <c r="AF10" s="2964">
        <v>91</v>
      </c>
      <c r="AG10" s="2964">
        <v>91</v>
      </c>
      <c r="AH10" s="2964">
        <v>30.93</v>
      </c>
      <c r="AI10" s="2964">
        <v>30.93</v>
      </c>
      <c r="AJ10" s="2964">
        <v>463.92</v>
      </c>
      <c r="AK10" s="2964">
        <v>463.93</v>
      </c>
      <c r="AL10" s="2964" t="s">
        <v>1327</v>
      </c>
      <c r="AM10" s="2964" t="s">
        <v>1327</v>
      </c>
      <c r="AN10" s="2964">
        <v>0</v>
      </c>
      <c r="AO10" s="2964" t="s">
        <v>3149</v>
      </c>
      <c r="AP10" s="2964" t="s">
        <v>1327</v>
      </c>
      <c r="AQ10" s="2964" t="s">
        <v>1327</v>
      </c>
      <c r="AR10" s="2964" t="s">
        <v>1327</v>
      </c>
      <c r="AS10" s="2964" t="s">
        <v>3150</v>
      </c>
    </row>
    <row r="11" spans="1:45" s="1637" customFormat="1">
      <c r="A11" s="1637" t="s">
        <v>3161</v>
      </c>
      <c r="B11" s="1637" t="s">
        <v>3136</v>
      </c>
      <c r="C11" s="1637" t="s">
        <v>3137</v>
      </c>
      <c r="D11" s="1637" t="s">
        <v>3138</v>
      </c>
      <c r="E11" s="1637" t="s">
        <v>1327</v>
      </c>
      <c r="F11" s="1637" t="s">
        <v>3161</v>
      </c>
      <c r="G11" s="1637" t="s">
        <v>3139</v>
      </c>
      <c r="H11" s="1637">
        <v>2018023</v>
      </c>
      <c r="I11" s="1637" t="s">
        <v>3137</v>
      </c>
      <c r="J11" s="1637">
        <v>8913.7000000000007</v>
      </c>
      <c r="K11" s="1637">
        <v>8913.7000000000007</v>
      </c>
      <c r="L11" s="1637" t="s">
        <v>3140</v>
      </c>
      <c r="M11" s="1637" t="s">
        <v>1327</v>
      </c>
      <c r="N11" s="1637" t="s">
        <v>3141</v>
      </c>
      <c r="O11" s="1637" t="s">
        <v>1327</v>
      </c>
      <c r="P11" s="1637" t="s">
        <v>1327</v>
      </c>
      <c r="Q11" s="1637" t="s">
        <v>1327</v>
      </c>
      <c r="R11" s="1637" t="s">
        <v>1327</v>
      </c>
      <c r="S11" s="1637" t="s">
        <v>1327</v>
      </c>
      <c r="T11" s="1637" t="s">
        <v>1327</v>
      </c>
      <c r="U11" s="1637" t="s">
        <v>1327</v>
      </c>
      <c r="V11" s="1637" t="s">
        <v>1327</v>
      </c>
      <c r="W11" s="1637" t="s">
        <v>3142</v>
      </c>
      <c r="X11" s="1637" t="s">
        <v>3162</v>
      </c>
      <c r="Y11" s="1637" t="s">
        <v>3163</v>
      </c>
      <c r="Z11" s="1637" t="s">
        <v>3164</v>
      </c>
      <c r="AA11" s="1637" t="s">
        <v>3164</v>
      </c>
      <c r="AB11" s="1637" t="s">
        <v>3165</v>
      </c>
      <c r="AC11" s="1637" t="s">
        <v>3147</v>
      </c>
      <c r="AD11" s="1637" t="s">
        <v>3166</v>
      </c>
      <c r="AE11" s="1637">
        <v>407</v>
      </c>
      <c r="AF11" s="1637">
        <v>407</v>
      </c>
      <c r="AG11" s="1637">
        <v>407</v>
      </c>
      <c r="AH11" s="1637">
        <v>30.44</v>
      </c>
      <c r="AI11" s="1637">
        <v>30.44</v>
      </c>
      <c r="AJ11" s="1637">
        <v>456.6</v>
      </c>
      <c r="AK11" s="1637">
        <v>456.6</v>
      </c>
      <c r="AL11" s="1637" t="s">
        <v>1327</v>
      </c>
      <c r="AM11" s="1637" t="s">
        <v>1327</v>
      </c>
      <c r="AN11" s="1637">
        <v>0</v>
      </c>
      <c r="AO11" s="1637" t="s">
        <v>3149</v>
      </c>
      <c r="AP11" s="1637" t="s">
        <v>1327</v>
      </c>
      <c r="AQ11" s="1637" t="s">
        <v>1327</v>
      </c>
      <c r="AR11" s="1637" t="s">
        <v>1327</v>
      </c>
      <c r="AS11" s="1637" t="s">
        <v>3150</v>
      </c>
    </row>
    <row r="12" spans="1:45" s="1637" customFormat="1">
      <c r="A12" s="1637" t="s">
        <v>3167</v>
      </c>
      <c r="B12" s="1637" t="s">
        <v>3136</v>
      </c>
      <c r="C12" s="1637" t="s">
        <v>3137</v>
      </c>
      <c r="D12" s="1637" t="s">
        <v>3138</v>
      </c>
      <c r="E12" s="1637" t="s">
        <v>1327</v>
      </c>
      <c r="F12" s="1637" t="s">
        <v>3167</v>
      </c>
      <c r="G12" s="1637" t="s">
        <v>3139</v>
      </c>
      <c r="H12" s="1637">
        <v>2018009</v>
      </c>
      <c r="I12" s="1637" t="s">
        <v>3137</v>
      </c>
      <c r="J12" s="1637">
        <v>10012</v>
      </c>
      <c r="K12" s="1637">
        <v>10012</v>
      </c>
      <c r="L12" s="1637" t="s">
        <v>3140</v>
      </c>
      <c r="M12" s="1637" t="s">
        <v>1327</v>
      </c>
      <c r="N12" s="1637" t="s">
        <v>3141</v>
      </c>
      <c r="O12" s="1637" t="s">
        <v>1327</v>
      </c>
      <c r="P12" s="1637" t="s">
        <v>1327</v>
      </c>
      <c r="Q12" s="1637" t="s">
        <v>1327</v>
      </c>
      <c r="R12" s="1637" t="s">
        <v>1327</v>
      </c>
      <c r="S12" s="1637" t="s">
        <v>1327</v>
      </c>
      <c r="T12" s="1637" t="s">
        <v>1327</v>
      </c>
      <c r="U12" s="1637" t="s">
        <v>1327</v>
      </c>
      <c r="V12" s="1637" t="s">
        <v>1327</v>
      </c>
      <c r="W12" s="1637" t="s">
        <v>3142</v>
      </c>
      <c r="X12" s="1637" t="s">
        <v>3162</v>
      </c>
      <c r="Y12" s="1637" t="s">
        <v>3163</v>
      </c>
      <c r="Z12" s="1637" t="s">
        <v>3164</v>
      </c>
      <c r="AA12" s="1637" t="s">
        <v>3164</v>
      </c>
      <c r="AB12" s="1637" t="s">
        <v>3165</v>
      </c>
      <c r="AC12" s="1637" t="s">
        <v>3147</v>
      </c>
      <c r="AD12" s="1637" t="s">
        <v>3166</v>
      </c>
      <c r="AE12" s="1637">
        <v>456</v>
      </c>
      <c r="AF12" s="1637">
        <v>456</v>
      </c>
      <c r="AG12" s="1637">
        <v>456</v>
      </c>
      <c r="AH12" s="1637">
        <v>30.36</v>
      </c>
      <c r="AI12" s="1637">
        <v>30.36</v>
      </c>
      <c r="AJ12" s="1637">
        <v>455.45</v>
      </c>
      <c r="AK12" s="1637">
        <v>455.44</v>
      </c>
      <c r="AL12" s="1637" t="s">
        <v>1327</v>
      </c>
      <c r="AM12" s="1637" t="s">
        <v>1327</v>
      </c>
      <c r="AN12" s="1637">
        <v>0</v>
      </c>
      <c r="AO12" s="1637" t="s">
        <v>3149</v>
      </c>
      <c r="AP12" s="1637" t="s">
        <v>1327</v>
      </c>
      <c r="AQ12" s="1637" t="s">
        <v>1327</v>
      </c>
      <c r="AR12" s="1637" t="s">
        <v>1327</v>
      </c>
      <c r="AS12" s="1637" t="s">
        <v>3150</v>
      </c>
    </row>
    <row r="13" spans="1:45" s="1637" customFormat="1" hidden="1">
      <c r="A13" s="1637" t="s">
        <v>3151</v>
      </c>
      <c r="B13" s="1637" t="s">
        <v>3136</v>
      </c>
      <c r="C13" s="1637" t="s">
        <v>3137</v>
      </c>
      <c r="D13" s="1637" t="s">
        <v>3138</v>
      </c>
      <c r="E13" s="1637" t="s">
        <v>1327</v>
      </c>
      <c r="F13" s="1637" t="s">
        <v>3151</v>
      </c>
      <c r="G13" s="1637" t="s">
        <v>3139</v>
      </c>
      <c r="H13" s="1637">
        <v>2018027</v>
      </c>
      <c r="I13" s="1637" t="s">
        <v>3152</v>
      </c>
      <c r="J13" s="1637">
        <v>11442.82</v>
      </c>
      <c r="K13" s="1637">
        <v>11442.82</v>
      </c>
      <c r="L13" s="1637" t="s">
        <v>3140</v>
      </c>
      <c r="M13" s="1637" t="s">
        <v>1327</v>
      </c>
      <c r="N13" s="1637" t="s">
        <v>3153</v>
      </c>
      <c r="O13" s="1637" t="s">
        <v>1327</v>
      </c>
      <c r="P13" s="1637" t="s">
        <v>1327</v>
      </c>
      <c r="Q13" s="1637" t="s">
        <v>1327</v>
      </c>
      <c r="R13" s="1637" t="s">
        <v>1327</v>
      </c>
      <c r="S13" s="1637" t="s">
        <v>1327</v>
      </c>
      <c r="T13" s="1637" t="s">
        <v>1327</v>
      </c>
      <c r="U13" s="1637" t="s">
        <v>1327</v>
      </c>
      <c r="V13" s="1637" t="s">
        <v>1327</v>
      </c>
      <c r="W13" s="1637" t="s">
        <v>1327</v>
      </c>
      <c r="X13" s="1637" t="s">
        <v>3162</v>
      </c>
      <c r="Y13" s="1637" t="s">
        <v>3163</v>
      </c>
      <c r="Z13" s="1637" t="s">
        <v>3164</v>
      </c>
      <c r="AA13" s="1637" t="s">
        <v>1327</v>
      </c>
      <c r="AB13" s="1637" t="s">
        <v>3165</v>
      </c>
      <c r="AC13" s="1637" t="s">
        <v>3168</v>
      </c>
      <c r="AD13" s="1637" t="s">
        <v>1327</v>
      </c>
      <c r="AE13" s="1637">
        <v>520</v>
      </c>
      <c r="AF13" s="1637">
        <v>520</v>
      </c>
      <c r="AG13" s="1637" t="s">
        <v>1327</v>
      </c>
      <c r="AH13" s="1637">
        <v>30.3</v>
      </c>
      <c r="AI13" s="1637" t="s">
        <v>1327</v>
      </c>
      <c r="AJ13" s="1637">
        <v>454.43</v>
      </c>
      <c r="AK13" s="1637" t="s">
        <v>1327</v>
      </c>
      <c r="AL13" s="1637" t="s">
        <v>1327</v>
      </c>
      <c r="AM13" s="1637" t="s">
        <v>1327</v>
      </c>
      <c r="AN13" s="1637" t="s">
        <v>1327</v>
      </c>
      <c r="AO13" s="1637" t="s">
        <v>3149</v>
      </c>
      <c r="AP13" s="1637" t="s">
        <v>1327</v>
      </c>
      <c r="AQ13" s="1637" t="s">
        <v>1327</v>
      </c>
      <c r="AR13" s="1637" t="s">
        <v>1327</v>
      </c>
      <c r="AS13" s="1637" t="s">
        <v>3150</v>
      </c>
    </row>
    <row r="14" spans="1:45" s="1637" customFormat="1">
      <c r="A14" s="1637" t="s">
        <v>3169</v>
      </c>
      <c r="B14" s="1637" t="s">
        <v>3136</v>
      </c>
      <c r="C14" s="1637" t="s">
        <v>3137</v>
      </c>
      <c r="D14" s="1637" t="s">
        <v>3138</v>
      </c>
      <c r="E14" s="1637" t="s">
        <v>1327</v>
      </c>
      <c r="F14" s="1637" t="s">
        <v>3169</v>
      </c>
      <c r="G14" s="1637" t="s">
        <v>3139</v>
      </c>
      <c r="H14" s="1637">
        <v>2018034</v>
      </c>
      <c r="I14" s="1637" t="s">
        <v>3137</v>
      </c>
      <c r="J14" s="1637">
        <v>54125.4</v>
      </c>
      <c r="K14" s="1637">
        <v>54125.4</v>
      </c>
      <c r="L14" s="1637" t="s">
        <v>3140</v>
      </c>
      <c r="M14" s="1637" t="s">
        <v>1327</v>
      </c>
      <c r="N14" s="1637" t="s">
        <v>3141</v>
      </c>
      <c r="O14" s="1637" t="s">
        <v>1327</v>
      </c>
      <c r="P14" s="1637" t="s">
        <v>1327</v>
      </c>
      <c r="Q14" s="1637" t="s">
        <v>1327</v>
      </c>
      <c r="R14" s="1637" t="s">
        <v>1327</v>
      </c>
      <c r="S14" s="1637" t="s">
        <v>1327</v>
      </c>
      <c r="T14" s="1637" t="s">
        <v>1327</v>
      </c>
      <c r="U14" s="1637" t="s">
        <v>1327</v>
      </c>
      <c r="V14" s="1637" t="s">
        <v>1327</v>
      </c>
      <c r="W14" s="1637" t="s">
        <v>3142</v>
      </c>
      <c r="X14" s="1637" t="s">
        <v>3162</v>
      </c>
      <c r="Y14" s="1637" t="s">
        <v>3163</v>
      </c>
      <c r="Z14" s="1637" t="s">
        <v>3164</v>
      </c>
      <c r="AA14" s="1637" t="s">
        <v>3164</v>
      </c>
      <c r="AB14" s="1637" t="s">
        <v>3165</v>
      </c>
      <c r="AC14" s="1637" t="s">
        <v>3147</v>
      </c>
      <c r="AD14" s="1637" t="s">
        <v>3170</v>
      </c>
      <c r="AE14" s="1637">
        <v>2456</v>
      </c>
      <c r="AF14" s="1637">
        <v>2456</v>
      </c>
      <c r="AG14" s="1637">
        <v>2456</v>
      </c>
      <c r="AH14" s="1637">
        <v>30.25</v>
      </c>
      <c r="AI14" s="1637">
        <v>30.25</v>
      </c>
      <c r="AJ14" s="1637">
        <v>453.76</v>
      </c>
      <c r="AK14" s="1637">
        <v>453.75</v>
      </c>
      <c r="AL14" s="1637" t="s">
        <v>1327</v>
      </c>
      <c r="AM14" s="1637" t="s">
        <v>1327</v>
      </c>
      <c r="AN14" s="1637">
        <v>0</v>
      </c>
      <c r="AO14" s="1637" t="s">
        <v>3149</v>
      </c>
      <c r="AP14" s="1637" t="s">
        <v>1327</v>
      </c>
      <c r="AQ14" s="1637" t="s">
        <v>1327</v>
      </c>
      <c r="AR14" s="1637" t="s">
        <v>1327</v>
      </c>
      <c r="AS14" s="1637" t="s">
        <v>3150</v>
      </c>
    </row>
    <row r="15" spans="1:45" s="1637" customFormat="1">
      <c r="A15" s="1637" t="s">
        <v>3171</v>
      </c>
      <c r="B15" s="1637" t="s">
        <v>3136</v>
      </c>
      <c r="C15" s="1637" t="s">
        <v>3137</v>
      </c>
      <c r="D15" s="1637" t="s">
        <v>3138</v>
      </c>
      <c r="E15" s="1637" t="s">
        <v>1327</v>
      </c>
      <c r="F15" s="1637" t="s">
        <v>3171</v>
      </c>
      <c r="G15" s="1637" t="s">
        <v>3139</v>
      </c>
      <c r="H15" s="1637">
        <v>2018033</v>
      </c>
      <c r="I15" s="1637" t="s">
        <v>3137</v>
      </c>
      <c r="J15" s="1637">
        <v>60876</v>
      </c>
      <c r="K15" s="1637">
        <v>42613.2</v>
      </c>
      <c r="L15" s="1637" t="s">
        <v>3172</v>
      </c>
      <c r="M15" s="1637" t="s">
        <v>1327</v>
      </c>
      <c r="N15" s="1637" t="s">
        <v>3141</v>
      </c>
      <c r="O15" s="1637" t="s">
        <v>1327</v>
      </c>
      <c r="P15" s="1637" t="s">
        <v>1327</v>
      </c>
      <c r="Q15" s="1637" t="s">
        <v>1327</v>
      </c>
      <c r="R15" s="1637" t="s">
        <v>1327</v>
      </c>
      <c r="S15" s="1637" t="s">
        <v>1327</v>
      </c>
      <c r="T15" s="1637" t="s">
        <v>1327</v>
      </c>
      <c r="U15" s="1637" t="s">
        <v>1327</v>
      </c>
      <c r="V15" s="1637" t="s">
        <v>1327</v>
      </c>
      <c r="W15" s="1637" t="s">
        <v>3142</v>
      </c>
      <c r="X15" s="1637" t="s">
        <v>3162</v>
      </c>
      <c r="Y15" s="1637" t="s">
        <v>3163</v>
      </c>
      <c r="Z15" s="1637" t="s">
        <v>3164</v>
      </c>
      <c r="AA15" s="1637" t="s">
        <v>3164</v>
      </c>
      <c r="AB15" s="1637" t="s">
        <v>3165</v>
      </c>
      <c r="AC15" s="1637" t="s">
        <v>3147</v>
      </c>
      <c r="AD15" s="1637" t="s">
        <v>3173</v>
      </c>
      <c r="AE15" s="1637">
        <v>2760</v>
      </c>
      <c r="AF15" s="1637">
        <v>2760</v>
      </c>
      <c r="AG15" s="1637">
        <v>2760</v>
      </c>
      <c r="AH15" s="1637">
        <v>30.23</v>
      </c>
      <c r="AI15" s="1637">
        <v>30.23</v>
      </c>
      <c r="AJ15" s="1637">
        <v>647.67999999999995</v>
      </c>
      <c r="AK15" s="1637">
        <v>647.69000000000005</v>
      </c>
      <c r="AL15" s="1637" t="s">
        <v>1327</v>
      </c>
      <c r="AM15" s="1637" t="s">
        <v>1327</v>
      </c>
      <c r="AN15" s="1637">
        <v>0</v>
      </c>
      <c r="AO15" s="1637" t="s">
        <v>3149</v>
      </c>
      <c r="AP15" s="1637" t="s">
        <v>1327</v>
      </c>
      <c r="AQ15" s="1637" t="s">
        <v>1327</v>
      </c>
      <c r="AR15" s="1637" t="s">
        <v>1327</v>
      </c>
      <c r="AS15" s="1637" t="s">
        <v>3150</v>
      </c>
    </row>
    <row r="16" spans="1:45" s="1637" customFormat="1">
      <c r="A16" s="1637" t="s">
        <v>3167</v>
      </c>
      <c r="B16" s="1637" t="s">
        <v>3136</v>
      </c>
      <c r="C16" s="1637" t="s">
        <v>3137</v>
      </c>
      <c r="D16" s="1637" t="s">
        <v>3138</v>
      </c>
      <c r="E16" s="1637" t="s">
        <v>1327</v>
      </c>
      <c r="F16" s="1637" t="s">
        <v>3167</v>
      </c>
      <c r="G16" s="1637" t="s">
        <v>3139</v>
      </c>
      <c r="H16" s="1637">
        <v>2018014</v>
      </c>
      <c r="I16" s="1637" t="s">
        <v>3152</v>
      </c>
      <c r="J16" s="1637">
        <v>969.2</v>
      </c>
      <c r="K16" s="1637">
        <v>969.2</v>
      </c>
      <c r="L16" s="1637" t="s">
        <v>3140</v>
      </c>
      <c r="M16" s="1637" t="s">
        <v>1327</v>
      </c>
      <c r="N16" s="1637" t="s">
        <v>3153</v>
      </c>
      <c r="O16" s="1637" t="s">
        <v>1327</v>
      </c>
      <c r="P16" s="1637" t="s">
        <v>1327</v>
      </c>
      <c r="Q16" s="1637" t="s">
        <v>1327</v>
      </c>
      <c r="R16" s="1637" t="s">
        <v>1327</v>
      </c>
      <c r="S16" s="1637" t="s">
        <v>1327</v>
      </c>
      <c r="T16" s="1637" t="s">
        <v>1327</v>
      </c>
      <c r="U16" s="1637" t="s">
        <v>1327</v>
      </c>
      <c r="V16" s="1637" t="s">
        <v>1327</v>
      </c>
      <c r="W16" s="1637" t="s">
        <v>3142</v>
      </c>
      <c r="X16" s="1637" t="s">
        <v>3162</v>
      </c>
      <c r="Y16" s="1637" t="s">
        <v>3163</v>
      </c>
      <c r="Z16" s="1637" t="s">
        <v>3164</v>
      </c>
      <c r="AA16" s="1637" t="s">
        <v>3164</v>
      </c>
      <c r="AB16" s="1637" t="s">
        <v>3165</v>
      </c>
      <c r="AC16" s="1637" t="s">
        <v>3147</v>
      </c>
      <c r="AD16" s="1637" t="s">
        <v>3166</v>
      </c>
      <c r="AE16" s="1637">
        <v>45</v>
      </c>
      <c r="AF16" s="1637">
        <v>45</v>
      </c>
      <c r="AG16" s="1637">
        <v>45</v>
      </c>
      <c r="AH16" s="1637">
        <v>30.95</v>
      </c>
      <c r="AI16" s="1637">
        <v>30.95</v>
      </c>
      <c r="AJ16" s="1637">
        <v>464.3</v>
      </c>
      <c r="AK16" s="1637">
        <v>464.3</v>
      </c>
      <c r="AL16" s="1637" t="s">
        <v>1327</v>
      </c>
      <c r="AM16" s="1637" t="s">
        <v>1327</v>
      </c>
      <c r="AN16" s="1637">
        <v>0</v>
      </c>
      <c r="AO16" s="1637" t="s">
        <v>3149</v>
      </c>
      <c r="AP16" s="1637" t="s">
        <v>1327</v>
      </c>
      <c r="AQ16" s="1637" t="s">
        <v>1327</v>
      </c>
      <c r="AR16" s="1637" t="s">
        <v>1327</v>
      </c>
      <c r="AS16" s="1637" t="s">
        <v>3150</v>
      </c>
    </row>
    <row r="17" spans="1:45" s="1637" customFormat="1">
      <c r="A17" s="1637" t="s">
        <v>3174</v>
      </c>
      <c r="B17" s="1637" t="s">
        <v>3136</v>
      </c>
      <c r="C17" s="1637" t="s">
        <v>3137</v>
      </c>
      <c r="D17" s="1637" t="s">
        <v>3138</v>
      </c>
      <c r="E17" s="1637" t="s">
        <v>1327</v>
      </c>
      <c r="F17" s="1637" t="s">
        <v>3174</v>
      </c>
      <c r="G17" s="1637" t="s">
        <v>3139</v>
      </c>
      <c r="H17" s="1637">
        <v>2018011</v>
      </c>
      <c r="I17" s="1637" t="s">
        <v>3137</v>
      </c>
      <c r="J17" s="1637">
        <v>20646.53</v>
      </c>
      <c r="K17" s="1637">
        <v>20646.53</v>
      </c>
      <c r="L17" s="1637" t="s">
        <v>3140</v>
      </c>
      <c r="M17" s="1637" t="s">
        <v>1327</v>
      </c>
      <c r="N17" s="1637" t="s">
        <v>3141</v>
      </c>
      <c r="O17" s="1637" t="s">
        <v>1327</v>
      </c>
      <c r="P17" s="1637" t="s">
        <v>1327</v>
      </c>
      <c r="Q17" s="1637" t="s">
        <v>1327</v>
      </c>
      <c r="R17" s="1637" t="s">
        <v>1327</v>
      </c>
      <c r="S17" s="1637" t="s">
        <v>1327</v>
      </c>
      <c r="T17" s="1637" t="s">
        <v>1327</v>
      </c>
      <c r="U17" s="1637" t="s">
        <v>1327</v>
      </c>
      <c r="V17" s="1637" t="s">
        <v>1327</v>
      </c>
      <c r="W17" s="1637" t="s">
        <v>3175</v>
      </c>
      <c r="X17" s="1637" t="s">
        <v>3176</v>
      </c>
      <c r="Y17" s="1637" t="s">
        <v>3177</v>
      </c>
      <c r="Z17" s="1637" t="s">
        <v>3178</v>
      </c>
      <c r="AA17" s="1637" t="s">
        <v>3178</v>
      </c>
      <c r="AB17" s="1637" t="s">
        <v>3179</v>
      </c>
      <c r="AC17" s="1637" t="s">
        <v>3147</v>
      </c>
      <c r="AD17" s="1637" t="s">
        <v>3180</v>
      </c>
      <c r="AE17" s="1637">
        <v>934</v>
      </c>
      <c r="AF17" s="1637">
        <v>934</v>
      </c>
      <c r="AG17" s="1637">
        <v>934</v>
      </c>
      <c r="AH17" s="1637">
        <v>30.16</v>
      </c>
      <c r="AI17" s="1637">
        <v>30.16</v>
      </c>
      <c r="AJ17" s="1637">
        <v>452.37</v>
      </c>
      <c r="AK17" s="1637">
        <v>452.37</v>
      </c>
      <c r="AL17" s="1637" t="s">
        <v>1327</v>
      </c>
      <c r="AM17" s="1637" t="s">
        <v>1327</v>
      </c>
      <c r="AN17" s="1637">
        <v>0</v>
      </c>
      <c r="AO17" s="1637" t="s">
        <v>3149</v>
      </c>
      <c r="AP17" s="1637" t="s">
        <v>1327</v>
      </c>
      <c r="AQ17" s="1637" t="s">
        <v>1327</v>
      </c>
      <c r="AR17" s="1637" t="s">
        <v>1327</v>
      </c>
      <c r="AS17" s="1637" t="s">
        <v>3150</v>
      </c>
    </row>
    <row r="18" spans="1:45" s="1637" customFormat="1">
      <c r="A18" s="1637" t="s">
        <v>3181</v>
      </c>
      <c r="B18" s="1637" t="s">
        <v>3136</v>
      </c>
      <c r="C18" s="1637" t="s">
        <v>3137</v>
      </c>
      <c r="D18" s="1637" t="s">
        <v>3138</v>
      </c>
      <c r="E18" s="1637" t="s">
        <v>1327</v>
      </c>
      <c r="F18" s="1637" t="s">
        <v>3181</v>
      </c>
      <c r="G18" s="1637" t="s">
        <v>3139</v>
      </c>
      <c r="H18" s="1637">
        <v>2018010</v>
      </c>
      <c r="I18" s="1637" t="s">
        <v>3137</v>
      </c>
      <c r="J18" s="1637">
        <v>30215</v>
      </c>
      <c r="K18" s="1637">
        <v>30215</v>
      </c>
      <c r="L18" s="1637" t="s">
        <v>3140</v>
      </c>
      <c r="M18" s="1637" t="s">
        <v>1327</v>
      </c>
      <c r="N18" s="1637" t="s">
        <v>3141</v>
      </c>
      <c r="O18" s="1637" t="s">
        <v>1327</v>
      </c>
      <c r="P18" s="1637" t="s">
        <v>1327</v>
      </c>
      <c r="Q18" s="1637" t="s">
        <v>1327</v>
      </c>
      <c r="R18" s="1637" t="s">
        <v>1327</v>
      </c>
      <c r="S18" s="1637" t="s">
        <v>1327</v>
      </c>
      <c r="T18" s="1637" t="s">
        <v>1327</v>
      </c>
      <c r="U18" s="1637" t="s">
        <v>1327</v>
      </c>
      <c r="V18" s="1637" t="s">
        <v>1327</v>
      </c>
      <c r="W18" s="1637" t="s">
        <v>3175</v>
      </c>
      <c r="X18" s="1637" t="s">
        <v>3176</v>
      </c>
      <c r="Y18" s="1637" t="s">
        <v>3177</v>
      </c>
      <c r="Z18" s="1637" t="s">
        <v>3178</v>
      </c>
      <c r="AA18" s="1637" t="s">
        <v>3178</v>
      </c>
      <c r="AB18" s="1637" t="s">
        <v>3179</v>
      </c>
      <c r="AC18" s="1637" t="s">
        <v>3147</v>
      </c>
      <c r="AD18" s="1637" t="s">
        <v>3182</v>
      </c>
      <c r="AE18" s="1637">
        <v>1370</v>
      </c>
      <c r="AF18" s="1637">
        <v>1370</v>
      </c>
      <c r="AG18" s="1637">
        <v>1370</v>
      </c>
      <c r="AH18" s="1637">
        <v>30.23</v>
      </c>
      <c r="AI18" s="1637">
        <v>30.23</v>
      </c>
      <c r="AJ18" s="1637">
        <v>453.41</v>
      </c>
      <c r="AK18" s="1637">
        <v>453.42</v>
      </c>
      <c r="AL18" s="1637" t="s">
        <v>1327</v>
      </c>
      <c r="AM18" s="1637" t="s">
        <v>1327</v>
      </c>
      <c r="AN18" s="1637">
        <v>0</v>
      </c>
      <c r="AO18" s="1637" t="s">
        <v>3149</v>
      </c>
      <c r="AP18" s="1637" t="s">
        <v>1327</v>
      </c>
      <c r="AQ18" s="1637" t="s">
        <v>1327</v>
      </c>
      <c r="AR18" s="1637" t="s">
        <v>1327</v>
      </c>
      <c r="AS18" s="1637" t="s">
        <v>3150</v>
      </c>
    </row>
    <row r="19" spans="1:45" s="1637" customFormat="1" hidden="1">
      <c r="A19" s="1637" t="s">
        <v>3183</v>
      </c>
      <c r="B19" s="1637" t="s">
        <v>3136</v>
      </c>
      <c r="C19" s="1637" t="s">
        <v>3137</v>
      </c>
      <c r="D19" s="1637" t="s">
        <v>3138</v>
      </c>
      <c r="E19" s="1637" t="s">
        <v>1327</v>
      </c>
      <c r="F19" s="1637" t="s">
        <v>3183</v>
      </c>
      <c r="G19" s="1637" t="s">
        <v>3139</v>
      </c>
      <c r="H19" s="1637">
        <v>2018027</v>
      </c>
      <c r="I19" s="1637" t="s">
        <v>3137</v>
      </c>
      <c r="J19" s="1637">
        <v>11442.82</v>
      </c>
      <c r="K19" s="1637">
        <v>11442.82</v>
      </c>
      <c r="L19" s="1637" t="s">
        <v>3140</v>
      </c>
      <c r="M19" s="1637" t="s">
        <v>1327</v>
      </c>
      <c r="N19" s="1637" t="s">
        <v>3153</v>
      </c>
      <c r="O19" s="1637" t="s">
        <v>1327</v>
      </c>
      <c r="P19" s="1637" t="s">
        <v>1327</v>
      </c>
      <c r="Q19" s="1637" t="s">
        <v>1327</v>
      </c>
      <c r="R19" s="1637" t="s">
        <v>1327</v>
      </c>
      <c r="S19" s="1637" t="s">
        <v>1327</v>
      </c>
      <c r="T19" s="1637" t="s">
        <v>1327</v>
      </c>
      <c r="U19" s="1637" t="s">
        <v>1327</v>
      </c>
      <c r="V19" s="1637" t="s">
        <v>1327</v>
      </c>
      <c r="W19" s="1637" t="s">
        <v>1327</v>
      </c>
      <c r="X19" s="1637" t="s">
        <v>3176</v>
      </c>
      <c r="Y19" s="1637" t="s">
        <v>3177</v>
      </c>
      <c r="Z19" s="1637" t="s">
        <v>3178</v>
      </c>
      <c r="AA19" s="1637" t="s">
        <v>1327</v>
      </c>
      <c r="AB19" s="1637" t="s">
        <v>3184</v>
      </c>
      <c r="AC19" s="1637" t="s">
        <v>3168</v>
      </c>
      <c r="AD19" s="1637" t="s">
        <v>1327</v>
      </c>
      <c r="AE19" s="1637">
        <v>520</v>
      </c>
      <c r="AF19" s="1637">
        <v>520</v>
      </c>
      <c r="AG19" s="1637" t="s">
        <v>1327</v>
      </c>
      <c r="AH19" s="1637">
        <v>30.3</v>
      </c>
      <c r="AI19" s="1637" t="s">
        <v>1327</v>
      </c>
      <c r="AJ19" s="1637">
        <v>454.43</v>
      </c>
      <c r="AK19" s="1637" t="s">
        <v>1327</v>
      </c>
      <c r="AL19" s="1637" t="s">
        <v>1327</v>
      </c>
      <c r="AM19" s="1637" t="s">
        <v>1327</v>
      </c>
      <c r="AN19" s="1637" t="s">
        <v>1327</v>
      </c>
      <c r="AO19" s="1637" t="s">
        <v>3149</v>
      </c>
      <c r="AP19" s="1637" t="s">
        <v>1327</v>
      </c>
      <c r="AQ19" s="1637" t="s">
        <v>1327</v>
      </c>
      <c r="AR19" s="1637" t="s">
        <v>1327</v>
      </c>
      <c r="AS19" s="1637" t="s">
        <v>3150</v>
      </c>
    </row>
    <row r="20" spans="1:45" s="1637" customFormat="1">
      <c r="A20" s="1637" t="s">
        <v>3185</v>
      </c>
      <c r="B20" s="1637" t="s">
        <v>3136</v>
      </c>
      <c r="C20" s="1637" t="s">
        <v>3137</v>
      </c>
      <c r="D20" s="1637" t="s">
        <v>3138</v>
      </c>
      <c r="E20" s="1637" t="s">
        <v>1327</v>
      </c>
      <c r="F20" s="1637" t="s">
        <v>3185</v>
      </c>
      <c r="G20" s="1637" t="s">
        <v>3139</v>
      </c>
      <c r="H20" s="1637">
        <v>2018026</v>
      </c>
      <c r="I20" s="1637" t="s">
        <v>3137</v>
      </c>
      <c r="J20" s="1637">
        <v>32665.77</v>
      </c>
      <c r="K20" s="1637">
        <v>32665.77</v>
      </c>
      <c r="L20" s="1637" t="s">
        <v>3140</v>
      </c>
      <c r="M20" s="1637" t="s">
        <v>1327</v>
      </c>
      <c r="N20" s="1637" t="s">
        <v>3141</v>
      </c>
      <c r="O20" s="1637" t="s">
        <v>1327</v>
      </c>
      <c r="P20" s="1637" t="s">
        <v>1327</v>
      </c>
      <c r="Q20" s="1637" t="s">
        <v>1327</v>
      </c>
      <c r="R20" s="1637" t="s">
        <v>1327</v>
      </c>
      <c r="S20" s="1637" t="s">
        <v>1327</v>
      </c>
      <c r="T20" s="1637" t="s">
        <v>1327</v>
      </c>
      <c r="U20" s="1637" t="s">
        <v>1327</v>
      </c>
      <c r="V20" s="1637" t="s">
        <v>1327</v>
      </c>
      <c r="W20" s="1637" t="s">
        <v>3175</v>
      </c>
      <c r="X20" s="1637" t="s">
        <v>3176</v>
      </c>
      <c r="Y20" s="1637" t="s">
        <v>3177</v>
      </c>
      <c r="Z20" s="1637" t="s">
        <v>3178</v>
      </c>
      <c r="AA20" s="1637" t="s">
        <v>3178</v>
      </c>
      <c r="AB20" s="1637" t="s">
        <v>3184</v>
      </c>
      <c r="AC20" s="1637" t="s">
        <v>3147</v>
      </c>
      <c r="AD20" s="1637" t="s">
        <v>3186</v>
      </c>
      <c r="AE20" s="1637">
        <v>1480</v>
      </c>
      <c r="AF20" s="1637">
        <v>1480</v>
      </c>
      <c r="AG20" s="1637">
        <v>1480</v>
      </c>
      <c r="AH20" s="1637">
        <v>30.2</v>
      </c>
      <c r="AI20" s="1637">
        <v>30.2</v>
      </c>
      <c r="AJ20" s="1637">
        <v>453.07</v>
      </c>
      <c r="AK20" s="1637">
        <v>453.06</v>
      </c>
      <c r="AL20" s="1637" t="s">
        <v>1327</v>
      </c>
      <c r="AM20" s="1637" t="s">
        <v>1327</v>
      </c>
      <c r="AN20" s="1637">
        <v>0</v>
      </c>
      <c r="AO20" s="1637" t="s">
        <v>3149</v>
      </c>
      <c r="AP20" s="1637" t="s">
        <v>1327</v>
      </c>
      <c r="AQ20" s="1637" t="s">
        <v>1327</v>
      </c>
      <c r="AR20" s="1637" t="s">
        <v>1327</v>
      </c>
      <c r="AS20" s="1637" t="s">
        <v>3150</v>
      </c>
    </row>
    <row r="21" spans="1:45" s="1637" customFormat="1">
      <c r="A21" s="1637" t="s">
        <v>3187</v>
      </c>
      <c r="B21" s="1637" t="s">
        <v>3136</v>
      </c>
      <c r="C21" s="1637" t="s">
        <v>3137</v>
      </c>
      <c r="D21" s="1637" t="s">
        <v>3138</v>
      </c>
      <c r="E21" s="1637" t="s">
        <v>1327</v>
      </c>
      <c r="F21" s="1637" t="s">
        <v>3187</v>
      </c>
      <c r="G21" s="1637" t="s">
        <v>3139</v>
      </c>
      <c r="H21" s="1637">
        <v>2018025</v>
      </c>
      <c r="I21" s="1637" t="s">
        <v>3137</v>
      </c>
      <c r="J21" s="1637">
        <v>19983.95</v>
      </c>
      <c r="K21" s="1637">
        <v>19983.95</v>
      </c>
      <c r="L21" s="1637" t="s">
        <v>3140</v>
      </c>
      <c r="M21" s="1637" t="s">
        <v>1327</v>
      </c>
      <c r="N21" s="1637" t="s">
        <v>3141</v>
      </c>
      <c r="O21" s="1637" t="s">
        <v>1327</v>
      </c>
      <c r="P21" s="1637" t="s">
        <v>1327</v>
      </c>
      <c r="Q21" s="1637" t="s">
        <v>1327</v>
      </c>
      <c r="R21" s="1637" t="s">
        <v>1327</v>
      </c>
      <c r="S21" s="1637" t="s">
        <v>1327</v>
      </c>
      <c r="T21" s="1637" t="s">
        <v>1327</v>
      </c>
      <c r="U21" s="1637" t="s">
        <v>1327</v>
      </c>
      <c r="V21" s="1637" t="s">
        <v>1327</v>
      </c>
      <c r="W21" s="1637" t="s">
        <v>3175</v>
      </c>
      <c r="X21" s="1637" t="s">
        <v>3176</v>
      </c>
      <c r="Y21" s="1637" t="s">
        <v>3177</v>
      </c>
      <c r="Z21" s="1637" t="s">
        <v>3178</v>
      </c>
      <c r="AA21" s="1637" t="s">
        <v>3178</v>
      </c>
      <c r="AB21" s="1637" t="s">
        <v>3184</v>
      </c>
      <c r="AC21" s="1637" t="s">
        <v>3147</v>
      </c>
      <c r="AD21" s="1637" t="s">
        <v>3188</v>
      </c>
      <c r="AE21" s="1637">
        <v>905</v>
      </c>
      <c r="AF21" s="1637">
        <v>905</v>
      </c>
      <c r="AG21" s="1637">
        <v>905</v>
      </c>
      <c r="AH21" s="1637">
        <v>30.19</v>
      </c>
      <c r="AI21" s="1637">
        <v>30.19</v>
      </c>
      <c r="AJ21" s="1637">
        <v>452.86</v>
      </c>
      <c r="AK21" s="1637">
        <v>452.86</v>
      </c>
      <c r="AL21" s="1637" t="s">
        <v>1327</v>
      </c>
      <c r="AM21" s="1637" t="s">
        <v>1327</v>
      </c>
      <c r="AN21" s="1637">
        <v>0</v>
      </c>
      <c r="AO21" s="1637" t="s">
        <v>3149</v>
      </c>
      <c r="AP21" s="1637" t="s">
        <v>1327</v>
      </c>
      <c r="AQ21" s="1637" t="s">
        <v>1327</v>
      </c>
      <c r="AR21" s="1637" t="s">
        <v>1327</v>
      </c>
      <c r="AS21" s="1637" t="s">
        <v>3150</v>
      </c>
    </row>
    <row r="22" spans="1:45" s="1637" customFormat="1">
      <c r="A22" s="1637" t="s">
        <v>3189</v>
      </c>
      <c r="B22" s="1637" t="s">
        <v>3136</v>
      </c>
      <c r="C22" s="1637" t="s">
        <v>3137</v>
      </c>
      <c r="D22" s="1637" t="s">
        <v>3138</v>
      </c>
      <c r="E22" s="1637" t="s">
        <v>1327</v>
      </c>
      <c r="F22" s="1637" t="s">
        <v>3189</v>
      </c>
      <c r="G22" s="1637" t="s">
        <v>3139</v>
      </c>
      <c r="H22" s="1637">
        <v>2018024</v>
      </c>
      <c r="I22" s="1637" t="s">
        <v>3137</v>
      </c>
      <c r="J22" s="1637">
        <v>46663.77</v>
      </c>
      <c r="K22" s="1637">
        <v>46663.77</v>
      </c>
      <c r="L22" s="1637" t="s">
        <v>3140</v>
      </c>
      <c r="M22" s="1637" t="s">
        <v>1327</v>
      </c>
      <c r="N22" s="1637" t="s">
        <v>3141</v>
      </c>
      <c r="O22" s="1637" t="s">
        <v>1327</v>
      </c>
      <c r="P22" s="1637" t="s">
        <v>1327</v>
      </c>
      <c r="Q22" s="1637" t="s">
        <v>1327</v>
      </c>
      <c r="R22" s="1637" t="s">
        <v>1327</v>
      </c>
      <c r="S22" s="1637" t="s">
        <v>1327</v>
      </c>
      <c r="T22" s="1637" t="s">
        <v>1327</v>
      </c>
      <c r="U22" s="1637" t="s">
        <v>1327</v>
      </c>
      <c r="V22" s="1637" t="s">
        <v>1327</v>
      </c>
      <c r="W22" s="1637" t="s">
        <v>3175</v>
      </c>
      <c r="X22" s="1637" t="s">
        <v>3176</v>
      </c>
      <c r="Y22" s="1637" t="s">
        <v>3177</v>
      </c>
      <c r="Z22" s="1637" t="s">
        <v>3178</v>
      </c>
      <c r="AA22" s="1637" t="s">
        <v>3178</v>
      </c>
      <c r="AB22" s="1637" t="s">
        <v>3184</v>
      </c>
      <c r="AC22" s="1637" t="s">
        <v>3147</v>
      </c>
      <c r="AD22" s="1637" t="s">
        <v>3190</v>
      </c>
      <c r="AE22" s="1637">
        <v>2120</v>
      </c>
      <c r="AF22" s="1637">
        <v>2120</v>
      </c>
      <c r="AG22" s="1637">
        <v>2120</v>
      </c>
      <c r="AH22" s="1637">
        <v>30.29</v>
      </c>
      <c r="AI22" s="1637">
        <v>30.29</v>
      </c>
      <c r="AJ22" s="1637">
        <v>454.31</v>
      </c>
      <c r="AK22" s="1637">
        <v>454.31</v>
      </c>
      <c r="AL22" s="1637" t="s">
        <v>1327</v>
      </c>
      <c r="AM22" s="1637" t="s">
        <v>1327</v>
      </c>
      <c r="AN22" s="1637">
        <v>0</v>
      </c>
      <c r="AO22" s="1637" t="s">
        <v>3149</v>
      </c>
      <c r="AP22" s="1637" t="s">
        <v>1327</v>
      </c>
      <c r="AQ22" s="1637" t="s">
        <v>1327</v>
      </c>
      <c r="AR22" s="1637" t="s">
        <v>1327</v>
      </c>
      <c r="AS22" s="1637" t="s">
        <v>3150</v>
      </c>
    </row>
    <row r="23" spans="1:45" s="1637" customFormat="1">
      <c r="A23" s="1637" t="s">
        <v>3191</v>
      </c>
      <c r="B23" s="1637" t="s">
        <v>3136</v>
      </c>
      <c r="C23" s="1637" t="s">
        <v>3137</v>
      </c>
      <c r="D23" s="1637" t="s">
        <v>3138</v>
      </c>
      <c r="E23" s="1637" t="s">
        <v>1327</v>
      </c>
      <c r="F23" s="1637" t="s">
        <v>3191</v>
      </c>
      <c r="G23" s="1637" t="s">
        <v>3139</v>
      </c>
      <c r="H23" s="1637">
        <v>2018019</v>
      </c>
      <c r="I23" s="1637" t="s">
        <v>3137</v>
      </c>
      <c r="J23" s="1637">
        <v>42809</v>
      </c>
      <c r="K23" s="1637">
        <v>42809</v>
      </c>
      <c r="L23" s="1637" t="s">
        <v>3140</v>
      </c>
      <c r="M23" s="1637" t="s">
        <v>1327</v>
      </c>
      <c r="N23" s="1637" t="s">
        <v>3141</v>
      </c>
      <c r="O23" s="1637" t="s">
        <v>1327</v>
      </c>
      <c r="P23" s="1637" t="s">
        <v>1327</v>
      </c>
      <c r="Q23" s="1637" t="s">
        <v>1327</v>
      </c>
      <c r="R23" s="1637" t="s">
        <v>1327</v>
      </c>
      <c r="S23" s="1637" t="s">
        <v>1327</v>
      </c>
      <c r="T23" s="1637" t="s">
        <v>1327</v>
      </c>
      <c r="U23" s="1637" t="s">
        <v>1327</v>
      </c>
      <c r="V23" s="1637" t="s">
        <v>1327</v>
      </c>
      <c r="W23" s="1637" t="s">
        <v>3175</v>
      </c>
      <c r="X23" s="1637" t="s">
        <v>3192</v>
      </c>
      <c r="Y23" s="1637" t="s">
        <v>3193</v>
      </c>
      <c r="Z23" s="1637" t="s">
        <v>3194</v>
      </c>
      <c r="AA23" s="1637" t="s">
        <v>3194</v>
      </c>
      <c r="AB23" s="1637" t="s">
        <v>3195</v>
      </c>
      <c r="AC23" s="1637" t="s">
        <v>3147</v>
      </c>
      <c r="AD23" s="1637" t="s">
        <v>3196</v>
      </c>
      <c r="AE23" s="1637">
        <v>1937</v>
      </c>
      <c r="AF23" s="1637">
        <v>1937</v>
      </c>
      <c r="AG23" s="1637">
        <v>1937</v>
      </c>
      <c r="AH23" s="1637">
        <v>30.16</v>
      </c>
      <c r="AI23" s="1637">
        <v>30.16</v>
      </c>
      <c r="AJ23" s="1637">
        <v>452.47</v>
      </c>
      <c r="AK23" s="1637">
        <v>452.47</v>
      </c>
      <c r="AL23" s="1637" t="s">
        <v>1327</v>
      </c>
      <c r="AM23" s="1637" t="s">
        <v>1327</v>
      </c>
      <c r="AN23" s="1637">
        <v>0</v>
      </c>
      <c r="AO23" s="1637" t="s">
        <v>3149</v>
      </c>
      <c r="AP23" s="1637" t="s">
        <v>1327</v>
      </c>
      <c r="AQ23" s="1637" t="s">
        <v>1327</v>
      </c>
      <c r="AR23" s="1637" t="s">
        <v>1327</v>
      </c>
      <c r="AS23" s="1637" t="s">
        <v>3150</v>
      </c>
    </row>
    <row r="24" spans="1:45" s="1637" customFormat="1">
      <c r="A24" s="1637" t="s">
        <v>3191</v>
      </c>
      <c r="B24" s="1637" t="s">
        <v>3136</v>
      </c>
      <c r="C24" s="1637" t="s">
        <v>3137</v>
      </c>
      <c r="D24" s="1637" t="s">
        <v>3138</v>
      </c>
      <c r="E24" s="1637" t="s">
        <v>1327</v>
      </c>
      <c r="F24" s="1637" t="s">
        <v>3191</v>
      </c>
      <c r="G24" s="1637" t="s">
        <v>3139</v>
      </c>
      <c r="H24" s="1637">
        <v>2018018</v>
      </c>
      <c r="I24" s="1637" t="s">
        <v>3137</v>
      </c>
      <c r="J24" s="1637">
        <v>23305</v>
      </c>
      <c r="K24" s="1637">
        <v>23305</v>
      </c>
      <c r="L24" s="1637" t="s">
        <v>3140</v>
      </c>
      <c r="M24" s="1637" t="s">
        <v>1327</v>
      </c>
      <c r="N24" s="1637" t="s">
        <v>3141</v>
      </c>
      <c r="O24" s="1637" t="s">
        <v>1327</v>
      </c>
      <c r="P24" s="1637" t="s">
        <v>1327</v>
      </c>
      <c r="Q24" s="1637" t="s">
        <v>1327</v>
      </c>
      <c r="R24" s="1637" t="s">
        <v>1327</v>
      </c>
      <c r="S24" s="1637" t="s">
        <v>1327</v>
      </c>
      <c r="T24" s="1637" t="s">
        <v>1327</v>
      </c>
      <c r="U24" s="1637" t="s">
        <v>1327</v>
      </c>
      <c r="V24" s="1637" t="s">
        <v>1327</v>
      </c>
      <c r="W24" s="1637" t="s">
        <v>3175</v>
      </c>
      <c r="X24" s="1637" t="s">
        <v>3192</v>
      </c>
      <c r="Y24" s="1637" t="s">
        <v>3193</v>
      </c>
      <c r="Z24" s="1637" t="s">
        <v>3194</v>
      </c>
      <c r="AA24" s="1637" t="s">
        <v>3194</v>
      </c>
      <c r="AB24" s="1637" t="s">
        <v>3195</v>
      </c>
      <c r="AC24" s="1637" t="s">
        <v>3147</v>
      </c>
      <c r="AD24" s="1637" t="s">
        <v>3197</v>
      </c>
      <c r="AE24" s="1637">
        <v>1059</v>
      </c>
      <c r="AF24" s="1637">
        <v>1059</v>
      </c>
      <c r="AG24" s="1637">
        <v>1059</v>
      </c>
      <c r="AH24" s="1637">
        <v>30.29</v>
      </c>
      <c r="AI24" s="1637">
        <v>30.29</v>
      </c>
      <c r="AJ24" s="1637">
        <v>454.4</v>
      </c>
      <c r="AK24" s="1637">
        <v>454.41</v>
      </c>
      <c r="AL24" s="1637" t="s">
        <v>1327</v>
      </c>
      <c r="AM24" s="1637" t="s">
        <v>1327</v>
      </c>
      <c r="AN24" s="1637">
        <v>0</v>
      </c>
      <c r="AO24" s="1637" t="s">
        <v>3149</v>
      </c>
      <c r="AP24" s="1637" t="s">
        <v>1327</v>
      </c>
      <c r="AQ24" s="1637" t="s">
        <v>1327</v>
      </c>
      <c r="AR24" s="1637" t="s">
        <v>1327</v>
      </c>
      <c r="AS24" s="1637" t="s">
        <v>3150</v>
      </c>
    </row>
    <row r="25" spans="1:45" s="1637" customFormat="1">
      <c r="A25" s="1637" t="s">
        <v>3191</v>
      </c>
      <c r="B25" s="1637" t="s">
        <v>3136</v>
      </c>
      <c r="C25" s="1637" t="s">
        <v>3137</v>
      </c>
      <c r="D25" s="1637" t="s">
        <v>3138</v>
      </c>
      <c r="E25" s="1637" t="s">
        <v>1327</v>
      </c>
      <c r="F25" s="1637" t="s">
        <v>3191</v>
      </c>
      <c r="G25" s="1637" t="s">
        <v>3139</v>
      </c>
      <c r="H25" s="1637">
        <v>2018021</v>
      </c>
      <c r="I25" s="1637" t="s">
        <v>3137</v>
      </c>
      <c r="J25" s="1637">
        <v>15997.58</v>
      </c>
      <c r="K25" s="1637">
        <v>15997.58</v>
      </c>
      <c r="L25" s="1637" t="s">
        <v>3140</v>
      </c>
      <c r="M25" s="1637" t="s">
        <v>1327</v>
      </c>
      <c r="N25" s="1637" t="s">
        <v>3141</v>
      </c>
      <c r="O25" s="1637" t="s">
        <v>1327</v>
      </c>
      <c r="P25" s="1637" t="s">
        <v>1327</v>
      </c>
      <c r="Q25" s="1637" t="s">
        <v>1327</v>
      </c>
      <c r="R25" s="1637" t="s">
        <v>1327</v>
      </c>
      <c r="S25" s="1637" t="s">
        <v>1327</v>
      </c>
      <c r="T25" s="1637" t="s">
        <v>1327</v>
      </c>
      <c r="U25" s="1637" t="s">
        <v>1327</v>
      </c>
      <c r="V25" s="1637" t="s">
        <v>1327</v>
      </c>
      <c r="W25" s="1637" t="s">
        <v>3175</v>
      </c>
      <c r="X25" s="1637" t="s">
        <v>3192</v>
      </c>
      <c r="Y25" s="1637" t="s">
        <v>3193</v>
      </c>
      <c r="Z25" s="1637" t="s">
        <v>3194</v>
      </c>
      <c r="AA25" s="1637" t="s">
        <v>3194</v>
      </c>
      <c r="AB25" s="1637" t="s">
        <v>3195</v>
      </c>
      <c r="AC25" s="1637" t="s">
        <v>3147</v>
      </c>
      <c r="AD25" s="1637" t="s">
        <v>3198</v>
      </c>
      <c r="AE25" s="1637">
        <v>725</v>
      </c>
      <c r="AF25" s="1637">
        <v>725</v>
      </c>
      <c r="AG25" s="1637">
        <v>725</v>
      </c>
      <c r="AH25" s="1637">
        <v>30.21</v>
      </c>
      <c r="AI25" s="1637">
        <v>30.21</v>
      </c>
      <c r="AJ25" s="1637">
        <v>453.19</v>
      </c>
      <c r="AK25" s="1637">
        <v>453.18</v>
      </c>
      <c r="AL25" s="1637" t="s">
        <v>1327</v>
      </c>
      <c r="AM25" s="1637" t="s">
        <v>1327</v>
      </c>
      <c r="AN25" s="1637">
        <v>0</v>
      </c>
      <c r="AO25" s="1637" t="s">
        <v>3149</v>
      </c>
      <c r="AP25" s="1637" t="s">
        <v>1327</v>
      </c>
      <c r="AQ25" s="1637" t="s">
        <v>1327</v>
      </c>
      <c r="AR25" s="1637" t="s">
        <v>1327</v>
      </c>
      <c r="AS25" s="1637" t="s">
        <v>3150</v>
      </c>
    </row>
    <row r="26" spans="1:45" s="1637" customFormat="1">
      <c r="A26" s="1637" t="s">
        <v>3199</v>
      </c>
      <c r="B26" s="1637" t="s">
        <v>3136</v>
      </c>
      <c r="C26" s="1637" t="s">
        <v>3137</v>
      </c>
      <c r="D26" s="1637" t="s">
        <v>3138</v>
      </c>
      <c r="E26" s="1637" t="s">
        <v>1327</v>
      </c>
      <c r="F26" s="1637" t="s">
        <v>3199</v>
      </c>
      <c r="G26" s="1637" t="s">
        <v>3139</v>
      </c>
      <c r="H26" s="1637" t="s">
        <v>3200</v>
      </c>
      <c r="I26" s="1637" t="s">
        <v>3137</v>
      </c>
      <c r="J26" s="1637">
        <v>20000</v>
      </c>
      <c r="K26" s="1637">
        <v>20000</v>
      </c>
      <c r="L26" s="1637" t="s">
        <v>3140</v>
      </c>
      <c r="M26" s="1637" t="s">
        <v>1327</v>
      </c>
      <c r="N26" s="1637" t="s">
        <v>3141</v>
      </c>
      <c r="O26" s="1637" t="s">
        <v>1327</v>
      </c>
      <c r="P26" s="1637" t="s">
        <v>1327</v>
      </c>
      <c r="Q26" s="1637" t="s">
        <v>1327</v>
      </c>
      <c r="R26" s="1637" t="s">
        <v>1327</v>
      </c>
      <c r="S26" s="1637" t="s">
        <v>1327</v>
      </c>
      <c r="T26" s="1637" t="s">
        <v>1327</v>
      </c>
      <c r="U26" s="1637" t="s">
        <v>1327</v>
      </c>
      <c r="V26" s="1637" t="s">
        <v>1327</v>
      </c>
      <c r="W26" s="1637" t="s">
        <v>3175</v>
      </c>
      <c r="X26" s="1637" t="s">
        <v>3201</v>
      </c>
      <c r="Y26" s="1637" t="s">
        <v>3202</v>
      </c>
      <c r="Z26" s="1637" t="s">
        <v>3203</v>
      </c>
      <c r="AA26" s="1637" t="s">
        <v>3203</v>
      </c>
      <c r="AB26" s="1637" t="s">
        <v>3204</v>
      </c>
      <c r="AC26" s="1637" t="s">
        <v>3147</v>
      </c>
      <c r="AD26" s="1637" t="s">
        <v>3205</v>
      </c>
      <c r="AE26" s="1637">
        <v>905</v>
      </c>
      <c r="AF26" s="1637">
        <v>905</v>
      </c>
      <c r="AG26" s="1637">
        <v>905</v>
      </c>
      <c r="AH26" s="1637">
        <v>30.17</v>
      </c>
      <c r="AI26" s="1637">
        <v>30.17</v>
      </c>
      <c r="AJ26" s="1637">
        <v>452.5</v>
      </c>
      <c r="AK26" s="1637">
        <v>452.5</v>
      </c>
      <c r="AL26" s="1637" t="s">
        <v>1327</v>
      </c>
      <c r="AM26" s="1637" t="s">
        <v>1327</v>
      </c>
      <c r="AN26" s="1637">
        <v>0</v>
      </c>
      <c r="AO26" s="1637" t="s">
        <v>3149</v>
      </c>
      <c r="AP26" s="1637" t="s">
        <v>1327</v>
      </c>
      <c r="AQ26" s="1637" t="s">
        <v>1327</v>
      </c>
      <c r="AR26" s="1637" t="s">
        <v>1327</v>
      </c>
      <c r="AS26" s="1637" t="s">
        <v>3150</v>
      </c>
    </row>
    <row r="27" spans="1:45" s="1637" customFormat="1">
      <c r="A27" s="1637" t="s">
        <v>3206</v>
      </c>
      <c r="B27" s="1637" t="s">
        <v>3136</v>
      </c>
      <c r="C27" s="1637" t="s">
        <v>3137</v>
      </c>
      <c r="D27" s="1637" t="s">
        <v>3138</v>
      </c>
      <c r="E27" s="1637" t="s">
        <v>1327</v>
      </c>
      <c r="F27" s="1637" t="s">
        <v>3206</v>
      </c>
      <c r="G27" s="1637" t="s">
        <v>3139</v>
      </c>
      <c r="H27" s="1637">
        <v>2018013</v>
      </c>
      <c r="I27" s="1637" t="s">
        <v>3137</v>
      </c>
      <c r="J27" s="1637">
        <v>19485.02</v>
      </c>
      <c r="K27" s="1637">
        <v>19485.02</v>
      </c>
      <c r="L27" s="1637" t="s">
        <v>3140</v>
      </c>
      <c r="M27" s="1637" t="s">
        <v>1327</v>
      </c>
      <c r="N27" s="1637" t="s">
        <v>3207</v>
      </c>
      <c r="O27" s="1637" t="s">
        <v>1327</v>
      </c>
      <c r="P27" s="1637" t="s">
        <v>1327</v>
      </c>
      <c r="Q27" s="1637" t="s">
        <v>1327</v>
      </c>
      <c r="R27" s="1637" t="s">
        <v>1327</v>
      </c>
      <c r="S27" s="1637" t="s">
        <v>1327</v>
      </c>
      <c r="T27" s="1637" t="s">
        <v>1327</v>
      </c>
      <c r="U27" s="1637" t="s">
        <v>1327</v>
      </c>
      <c r="V27" s="1637" t="s">
        <v>1327</v>
      </c>
      <c r="W27" s="1637" t="s">
        <v>3175</v>
      </c>
      <c r="X27" s="1637" t="s">
        <v>3201</v>
      </c>
      <c r="Y27" s="1637" t="s">
        <v>3202</v>
      </c>
      <c r="Z27" s="1637" t="s">
        <v>3203</v>
      </c>
      <c r="AA27" s="1637" t="s">
        <v>3203</v>
      </c>
      <c r="AB27" s="1637" t="s">
        <v>3204</v>
      </c>
      <c r="AC27" s="1637" t="s">
        <v>3147</v>
      </c>
      <c r="AD27" s="1637" t="s">
        <v>3208</v>
      </c>
      <c r="AE27" s="1637">
        <v>882</v>
      </c>
      <c r="AF27" s="1637">
        <v>882</v>
      </c>
      <c r="AG27" s="1637">
        <v>882</v>
      </c>
      <c r="AH27" s="1637">
        <v>30.18</v>
      </c>
      <c r="AI27" s="1637">
        <v>30.18</v>
      </c>
      <c r="AJ27" s="1637">
        <v>452.65</v>
      </c>
      <c r="AK27" s="1637">
        <v>452.66</v>
      </c>
      <c r="AL27" s="1637" t="s">
        <v>1327</v>
      </c>
      <c r="AM27" s="1637" t="s">
        <v>1327</v>
      </c>
      <c r="AN27" s="1637">
        <v>0</v>
      </c>
      <c r="AO27" s="1637" t="s">
        <v>3149</v>
      </c>
      <c r="AP27" s="1637" t="s">
        <v>1327</v>
      </c>
      <c r="AQ27" s="1637" t="s">
        <v>1327</v>
      </c>
      <c r="AR27" s="1637" t="s">
        <v>1327</v>
      </c>
      <c r="AS27" s="1637" t="s">
        <v>3150</v>
      </c>
    </row>
    <row r="28" spans="1:45" s="1637" customFormat="1">
      <c r="A28" s="1637" t="s">
        <v>3209</v>
      </c>
      <c r="B28" s="1637" t="s">
        <v>3136</v>
      </c>
      <c r="C28" s="1637" t="s">
        <v>3137</v>
      </c>
      <c r="D28" s="1637" t="s">
        <v>3138</v>
      </c>
      <c r="E28" s="1637" t="s">
        <v>1327</v>
      </c>
      <c r="F28" s="1637" t="s">
        <v>3209</v>
      </c>
      <c r="G28" s="1637" t="s">
        <v>3139</v>
      </c>
      <c r="H28" s="1637">
        <v>2018020</v>
      </c>
      <c r="I28" s="1637" t="s">
        <v>3137</v>
      </c>
      <c r="J28" s="1637">
        <v>21418.53</v>
      </c>
      <c r="K28" s="1637">
        <v>21418.53</v>
      </c>
      <c r="L28" s="1637" t="s">
        <v>3140</v>
      </c>
      <c r="M28" s="1637" t="s">
        <v>1327</v>
      </c>
      <c r="N28" s="1637" t="s">
        <v>3141</v>
      </c>
      <c r="O28" s="1637" t="s">
        <v>1327</v>
      </c>
      <c r="P28" s="1637" t="s">
        <v>1327</v>
      </c>
      <c r="Q28" s="1637" t="s">
        <v>1327</v>
      </c>
      <c r="R28" s="1637" t="s">
        <v>1327</v>
      </c>
      <c r="S28" s="1637" t="s">
        <v>1327</v>
      </c>
      <c r="T28" s="1637" t="s">
        <v>1327</v>
      </c>
      <c r="U28" s="1637" t="s">
        <v>1327</v>
      </c>
      <c r="V28" s="1637" t="s">
        <v>1327</v>
      </c>
      <c r="W28" s="1637" t="s">
        <v>3175</v>
      </c>
      <c r="X28" s="1637" t="s">
        <v>3201</v>
      </c>
      <c r="Y28" s="1637" t="s">
        <v>3202</v>
      </c>
      <c r="Z28" s="1637" t="s">
        <v>3203</v>
      </c>
      <c r="AA28" s="1637" t="s">
        <v>3203</v>
      </c>
      <c r="AB28" s="1637" t="s">
        <v>3204</v>
      </c>
      <c r="AC28" s="1637" t="s">
        <v>3147</v>
      </c>
      <c r="AD28" s="1637" t="s">
        <v>3210</v>
      </c>
      <c r="AE28" s="1637">
        <v>970</v>
      </c>
      <c r="AF28" s="1637">
        <v>970</v>
      </c>
      <c r="AG28" s="1637">
        <v>970</v>
      </c>
      <c r="AH28" s="1637">
        <v>30.19</v>
      </c>
      <c r="AI28" s="1637">
        <v>30.19</v>
      </c>
      <c r="AJ28" s="1637">
        <v>452.87</v>
      </c>
      <c r="AK28" s="1637">
        <v>452.87</v>
      </c>
      <c r="AL28" s="1637" t="s">
        <v>1327</v>
      </c>
      <c r="AM28" s="1637" t="s">
        <v>1327</v>
      </c>
      <c r="AN28" s="1637">
        <v>0</v>
      </c>
      <c r="AO28" s="1637" t="s">
        <v>3149</v>
      </c>
      <c r="AP28" s="1637" t="s">
        <v>1327</v>
      </c>
      <c r="AQ28" s="1637" t="s">
        <v>1327</v>
      </c>
      <c r="AR28" s="1637" t="s">
        <v>1327</v>
      </c>
      <c r="AS28" s="1637" t="s">
        <v>3150</v>
      </c>
    </row>
    <row r="29" spans="1:45" s="1637" customFormat="1">
      <c r="A29" s="1637" t="s">
        <v>3211</v>
      </c>
      <c r="B29" s="1637" t="s">
        <v>3136</v>
      </c>
      <c r="C29" s="1637" t="s">
        <v>3137</v>
      </c>
      <c r="D29" s="1637" t="s">
        <v>3138</v>
      </c>
      <c r="E29" s="1637" t="s">
        <v>1327</v>
      </c>
      <c r="F29" s="1637" t="s">
        <v>3211</v>
      </c>
      <c r="G29" s="1637" t="s">
        <v>3139</v>
      </c>
      <c r="H29" s="1637">
        <v>2018012</v>
      </c>
      <c r="I29" s="1637" t="s">
        <v>3137</v>
      </c>
      <c r="J29" s="1637">
        <v>18266</v>
      </c>
      <c r="K29" s="1637">
        <v>18266</v>
      </c>
      <c r="L29" s="1637" t="s">
        <v>3140</v>
      </c>
      <c r="M29" s="1637" t="s">
        <v>1327</v>
      </c>
      <c r="N29" s="1637" t="s">
        <v>3141</v>
      </c>
      <c r="O29" s="1637" t="s">
        <v>1327</v>
      </c>
      <c r="P29" s="1637" t="s">
        <v>1327</v>
      </c>
      <c r="Q29" s="1637" t="s">
        <v>1327</v>
      </c>
      <c r="R29" s="1637" t="s">
        <v>1327</v>
      </c>
      <c r="S29" s="1637" t="s">
        <v>1327</v>
      </c>
      <c r="T29" s="1637" t="s">
        <v>1327</v>
      </c>
      <c r="U29" s="1637" t="s">
        <v>1327</v>
      </c>
      <c r="V29" s="1637" t="s">
        <v>1327</v>
      </c>
      <c r="W29" s="1637" t="s">
        <v>3175</v>
      </c>
      <c r="X29" s="1637" t="s">
        <v>3201</v>
      </c>
      <c r="Y29" s="1637" t="s">
        <v>3202</v>
      </c>
      <c r="Z29" s="1637" t="s">
        <v>3203</v>
      </c>
      <c r="AA29" s="1637" t="s">
        <v>3203</v>
      </c>
      <c r="AB29" s="1637" t="s">
        <v>3204</v>
      </c>
      <c r="AC29" s="1637" t="s">
        <v>3147</v>
      </c>
      <c r="AD29" s="1637" t="s">
        <v>3212</v>
      </c>
      <c r="AE29" s="1637">
        <v>827</v>
      </c>
      <c r="AF29" s="1637">
        <v>827</v>
      </c>
      <c r="AG29" s="1637">
        <v>827</v>
      </c>
      <c r="AH29" s="1637">
        <v>30.18</v>
      </c>
      <c r="AI29" s="1637">
        <v>30.18</v>
      </c>
      <c r="AJ29" s="1637">
        <v>452.75</v>
      </c>
      <c r="AK29" s="1637">
        <v>452.75</v>
      </c>
      <c r="AL29" s="1637" t="s">
        <v>1327</v>
      </c>
      <c r="AM29" s="1637" t="s">
        <v>1327</v>
      </c>
      <c r="AN29" s="1637">
        <v>0</v>
      </c>
      <c r="AO29" s="1637" t="s">
        <v>3149</v>
      </c>
      <c r="AP29" s="1637" t="s">
        <v>1327</v>
      </c>
      <c r="AQ29" s="1637" t="s">
        <v>1327</v>
      </c>
      <c r="AR29" s="1637" t="s">
        <v>1327</v>
      </c>
      <c r="AS29" s="1637" t="s">
        <v>3150</v>
      </c>
    </row>
    <row r="30" spans="1:45" s="1637" customFormat="1">
      <c r="A30" s="1637" t="s">
        <v>3213</v>
      </c>
      <c r="B30" s="1637" t="s">
        <v>3136</v>
      </c>
      <c r="C30" s="1637" t="s">
        <v>3137</v>
      </c>
      <c r="D30" s="1637" t="s">
        <v>3138</v>
      </c>
      <c r="E30" s="1637" t="s">
        <v>1327</v>
      </c>
      <c r="F30" s="1637" t="s">
        <v>3213</v>
      </c>
      <c r="G30" s="1637" t="s">
        <v>3139</v>
      </c>
      <c r="H30" s="1637">
        <v>2017004</v>
      </c>
      <c r="I30" s="1637" t="s">
        <v>3137</v>
      </c>
      <c r="J30" s="1637">
        <v>21844</v>
      </c>
      <c r="K30" s="1637">
        <v>21844</v>
      </c>
      <c r="L30" s="1637" t="s">
        <v>3140</v>
      </c>
      <c r="M30" s="1637" t="s">
        <v>1327</v>
      </c>
      <c r="N30" s="1637" t="s">
        <v>3141</v>
      </c>
      <c r="O30" s="1637" t="s">
        <v>1327</v>
      </c>
      <c r="P30" s="1637" t="s">
        <v>1327</v>
      </c>
      <c r="Q30" s="1637" t="s">
        <v>1327</v>
      </c>
      <c r="R30" s="1637" t="s">
        <v>1327</v>
      </c>
      <c r="S30" s="1637" t="s">
        <v>1327</v>
      </c>
      <c r="T30" s="1637" t="s">
        <v>1327</v>
      </c>
      <c r="U30" s="1637" t="s">
        <v>1327</v>
      </c>
      <c r="V30" s="1637" t="s">
        <v>1327</v>
      </c>
      <c r="W30" s="1637" t="s">
        <v>3175</v>
      </c>
      <c r="X30" s="1637" t="s">
        <v>3214</v>
      </c>
      <c r="Y30" s="1637" t="s">
        <v>3215</v>
      </c>
      <c r="Z30" s="1637" t="s">
        <v>3216</v>
      </c>
      <c r="AA30" s="1637" t="s">
        <v>3216</v>
      </c>
      <c r="AB30" s="1637" t="s">
        <v>3217</v>
      </c>
      <c r="AC30" s="1637" t="s">
        <v>3147</v>
      </c>
      <c r="AD30" s="1637" t="s">
        <v>3218</v>
      </c>
      <c r="AE30" s="1637">
        <v>595</v>
      </c>
      <c r="AF30" s="1637">
        <v>595</v>
      </c>
      <c r="AG30" s="1637">
        <v>595</v>
      </c>
      <c r="AH30" s="1637">
        <v>18.16</v>
      </c>
      <c r="AI30" s="1637">
        <v>18.16</v>
      </c>
      <c r="AJ30" s="1637">
        <v>272.38</v>
      </c>
      <c r="AK30" s="1637">
        <v>272.38</v>
      </c>
      <c r="AL30" s="1637" t="s">
        <v>1327</v>
      </c>
      <c r="AM30" s="1637" t="s">
        <v>1327</v>
      </c>
      <c r="AN30" s="1637">
        <v>0</v>
      </c>
      <c r="AO30" s="1637" t="s">
        <v>3149</v>
      </c>
      <c r="AP30" s="1637" t="s">
        <v>1327</v>
      </c>
      <c r="AQ30" s="1637" t="s">
        <v>1327</v>
      </c>
      <c r="AR30" s="1637" t="s">
        <v>1327</v>
      </c>
      <c r="AS30" s="1637" t="s">
        <v>3150</v>
      </c>
    </row>
    <row r="31" spans="1:45" s="1637" customFormat="1">
      <c r="A31" s="1637" t="s">
        <v>3135</v>
      </c>
      <c r="B31" s="1637" t="s">
        <v>3136</v>
      </c>
      <c r="C31" s="1637" t="s">
        <v>3137</v>
      </c>
      <c r="D31" s="1637" t="s">
        <v>3138</v>
      </c>
      <c r="E31" s="1637" t="s">
        <v>1327</v>
      </c>
      <c r="F31" s="1637" t="s">
        <v>3135</v>
      </c>
      <c r="G31" s="1637" t="s">
        <v>3139</v>
      </c>
      <c r="H31" s="1637">
        <v>2017005</v>
      </c>
      <c r="I31" s="1637" t="s">
        <v>3137</v>
      </c>
      <c r="J31" s="1637">
        <v>14700</v>
      </c>
      <c r="K31" s="1637">
        <v>14700</v>
      </c>
      <c r="L31" s="1637" t="s">
        <v>3140</v>
      </c>
      <c r="M31" s="1637" t="s">
        <v>1327</v>
      </c>
      <c r="N31" s="1637" t="s">
        <v>3141</v>
      </c>
      <c r="O31" s="1637" t="s">
        <v>1327</v>
      </c>
      <c r="P31" s="1637" t="s">
        <v>1327</v>
      </c>
      <c r="Q31" s="1637" t="s">
        <v>1327</v>
      </c>
      <c r="R31" s="1637" t="s">
        <v>1327</v>
      </c>
      <c r="S31" s="1637" t="s">
        <v>1327</v>
      </c>
      <c r="T31" s="1637" t="s">
        <v>1327</v>
      </c>
      <c r="U31" s="1637" t="s">
        <v>1327</v>
      </c>
      <c r="V31" s="1637" t="s">
        <v>1327</v>
      </c>
      <c r="W31" s="1637" t="s">
        <v>3175</v>
      </c>
      <c r="X31" s="1637" t="s">
        <v>3214</v>
      </c>
      <c r="Y31" s="1637" t="s">
        <v>3215</v>
      </c>
      <c r="Z31" s="1637" t="s">
        <v>3216</v>
      </c>
      <c r="AA31" s="1637" t="s">
        <v>3216</v>
      </c>
      <c r="AB31" s="1637" t="s">
        <v>3219</v>
      </c>
      <c r="AC31" s="1637" t="s">
        <v>3147</v>
      </c>
      <c r="AD31" s="1637" t="s">
        <v>3220</v>
      </c>
      <c r="AE31" s="1637">
        <v>400</v>
      </c>
      <c r="AF31" s="1637">
        <v>400</v>
      </c>
      <c r="AG31" s="1637">
        <v>400</v>
      </c>
      <c r="AH31" s="1637">
        <v>18.14</v>
      </c>
      <c r="AI31" s="1637">
        <v>18.14</v>
      </c>
      <c r="AJ31" s="1637">
        <v>272.10000000000002</v>
      </c>
      <c r="AK31" s="1637">
        <v>272.11</v>
      </c>
      <c r="AL31" s="1637" t="s">
        <v>1327</v>
      </c>
      <c r="AM31" s="1637" t="s">
        <v>1327</v>
      </c>
      <c r="AN31" s="1637">
        <v>0</v>
      </c>
      <c r="AO31" s="1637" t="s">
        <v>3149</v>
      </c>
      <c r="AP31" s="1637" t="s">
        <v>1327</v>
      </c>
      <c r="AQ31" s="1637" t="s">
        <v>1327</v>
      </c>
      <c r="AR31" s="1637" t="s">
        <v>1327</v>
      </c>
      <c r="AS31" s="1637" t="s">
        <v>3150</v>
      </c>
    </row>
    <row r="32" spans="1:45" s="1637" customFormat="1">
      <c r="A32" s="1637" t="s">
        <v>3135</v>
      </c>
      <c r="B32" s="1637" t="s">
        <v>3136</v>
      </c>
      <c r="C32" s="1637" t="s">
        <v>3137</v>
      </c>
      <c r="D32" s="1637" t="s">
        <v>3138</v>
      </c>
      <c r="E32" s="1637" t="s">
        <v>1327</v>
      </c>
      <c r="F32" s="1637" t="s">
        <v>3135</v>
      </c>
      <c r="G32" s="1637" t="s">
        <v>3139</v>
      </c>
      <c r="H32" s="1637">
        <v>2016022</v>
      </c>
      <c r="I32" s="1637" t="s">
        <v>3137</v>
      </c>
      <c r="J32" s="1637">
        <v>13189</v>
      </c>
      <c r="K32" s="1637">
        <v>9232.2999999999993</v>
      </c>
      <c r="L32" s="1637" t="s">
        <v>3172</v>
      </c>
      <c r="M32" s="1637" t="s">
        <v>1327</v>
      </c>
      <c r="N32" s="1637" t="s">
        <v>3221</v>
      </c>
      <c r="O32" s="1637" t="s">
        <v>1327</v>
      </c>
      <c r="P32" s="1637" t="s">
        <v>1327</v>
      </c>
      <c r="Q32" s="1637" t="s">
        <v>1327</v>
      </c>
      <c r="R32" s="1637" t="s">
        <v>1327</v>
      </c>
      <c r="S32" s="1637" t="s">
        <v>1327</v>
      </c>
      <c r="T32" s="1637" t="s">
        <v>1327</v>
      </c>
      <c r="U32" s="1637" t="s">
        <v>1327</v>
      </c>
      <c r="V32" s="1637" t="s">
        <v>1327</v>
      </c>
      <c r="W32" s="1637" t="s">
        <v>3175</v>
      </c>
      <c r="X32" s="1637" t="s">
        <v>3222</v>
      </c>
      <c r="Y32" s="1637" t="s">
        <v>3223</v>
      </c>
      <c r="Z32" s="1637" t="s">
        <v>3224</v>
      </c>
      <c r="AA32" s="1637" t="s">
        <v>3224</v>
      </c>
      <c r="AB32" s="1637" t="s">
        <v>3225</v>
      </c>
      <c r="AC32" s="1637" t="s">
        <v>3147</v>
      </c>
      <c r="AD32" s="1637" t="s">
        <v>3226</v>
      </c>
      <c r="AE32" s="1637">
        <v>238</v>
      </c>
      <c r="AF32" s="1637">
        <v>238</v>
      </c>
      <c r="AG32" s="1637">
        <v>238</v>
      </c>
      <c r="AH32" s="1637">
        <v>12.03</v>
      </c>
      <c r="AI32" s="1637">
        <v>12.03</v>
      </c>
      <c r="AJ32" s="1637">
        <v>257.79000000000002</v>
      </c>
      <c r="AK32" s="1637">
        <v>257.79000000000002</v>
      </c>
      <c r="AL32" s="1637" t="s">
        <v>1327</v>
      </c>
      <c r="AM32" s="1637" t="s">
        <v>1327</v>
      </c>
      <c r="AN32" s="1637">
        <v>0</v>
      </c>
      <c r="AO32" s="1637" t="s">
        <v>3149</v>
      </c>
      <c r="AP32" s="1637" t="s">
        <v>1327</v>
      </c>
      <c r="AQ32" s="1637" t="s">
        <v>1327</v>
      </c>
      <c r="AR32" s="1637" t="s">
        <v>1327</v>
      </c>
      <c r="AS32" s="1637" t="s">
        <v>3150</v>
      </c>
    </row>
    <row r="33" spans="1:45" s="1637" customFormat="1">
      <c r="A33" s="1637" t="s">
        <v>3135</v>
      </c>
      <c r="B33" s="1637" t="s">
        <v>3136</v>
      </c>
      <c r="C33" s="1637" t="s">
        <v>3137</v>
      </c>
      <c r="D33" s="1637" t="s">
        <v>3138</v>
      </c>
      <c r="E33" s="1637" t="s">
        <v>1327</v>
      </c>
      <c r="F33" s="1637" t="s">
        <v>3135</v>
      </c>
      <c r="G33" s="1637" t="s">
        <v>3139</v>
      </c>
      <c r="H33" s="1637">
        <v>2016016</v>
      </c>
      <c r="I33" s="1637" t="s">
        <v>3137</v>
      </c>
      <c r="J33" s="1637">
        <v>29711</v>
      </c>
      <c r="K33" s="1637">
        <v>20797.7</v>
      </c>
      <c r="L33" s="1637" t="s">
        <v>3172</v>
      </c>
      <c r="M33" s="1637" t="s">
        <v>1327</v>
      </c>
      <c r="N33" s="1637" t="s">
        <v>3221</v>
      </c>
      <c r="O33" s="1637" t="s">
        <v>1327</v>
      </c>
      <c r="P33" s="1637" t="s">
        <v>1327</v>
      </c>
      <c r="Q33" s="1637" t="s">
        <v>1327</v>
      </c>
      <c r="R33" s="1637" t="s">
        <v>1327</v>
      </c>
      <c r="S33" s="1637" t="s">
        <v>1327</v>
      </c>
      <c r="T33" s="1637" t="s">
        <v>1327</v>
      </c>
      <c r="U33" s="1637" t="s">
        <v>1327</v>
      </c>
      <c r="V33" s="1637" t="s">
        <v>1327</v>
      </c>
      <c r="W33" s="1637" t="s">
        <v>3175</v>
      </c>
      <c r="X33" s="1637" t="s">
        <v>3222</v>
      </c>
      <c r="Y33" s="1637" t="s">
        <v>3223</v>
      </c>
      <c r="Z33" s="1637" t="s">
        <v>3224</v>
      </c>
      <c r="AA33" s="1637" t="s">
        <v>3224</v>
      </c>
      <c r="AB33" s="1637" t="s">
        <v>3225</v>
      </c>
      <c r="AC33" s="1637" t="s">
        <v>3147</v>
      </c>
      <c r="AD33" s="1637" t="s">
        <v>3148</v>
      </c>
      <c r="AE33" s="1637">
        <v>402</v>
      </c>
      <c r="AF33" s="1637">
        <v>402</v>
      </c>
      <c r="AG33" s="1637">
        <v>402</v>
      </c>
      <c r="AH33" s="1637">
        <v>9.02</v>
      </c>
      <c r="AI33" s="1637">
        <v>9.02</v>
      </c>
      <c r="AJ33" s="1637">
        <v>193.29</v>
      </c>
      <c r="AK33" s="1637">
        <v>193.28</v>
      </c>
      <c r="AL33" s="1637" t="s">
        <v>1327</v>
      </c>
      <c r="AM33" s="1637" t="s">
        <v>1327</v>
      </c>
      <c r="AN33" s="1637">
        <v>0</v>
      </c>
      <c r="AO33" s="1637" t="s">
        <v>3149</v>
      </c>
      <c r="AP33" s="1637" t="s">
        <v>1327</v>
      </c>
      <c r="AQ33" s="1637" t="s">
        <v>1327</v>
      </c>
      <c r="AR33" s="1637" t="s">
        <v>1327</v>
      </c>
      <c r="AS33" s="1637" t="s">
        <v>3150</v>
      </c>
    </row>
    <row r="34" spans="1:45" s="1637" customFormat="1">
      <c r="A34" s="1637" t="s">
        <v>3135</v>
      </c>
      <c r="B34" s="1637" t="s">
        <v>3136</v>
      </c>
      <c r="C34" s="1637" t="s">
        <v>3137</v>
      </c>
      <c r="D34" s="1637" t="s">
        <v>3138</v>
      </c>
      <c r="E34" s="1637" t="s">
        <v>1327</v>
      </c>
      <c r="F34" s="1637" t="s">
        <v>3135</v>
      </c>
      <c r="G34" s="1637" t="s">
        <v>3139</v>
      </c>
      <c r="H34" s="1637">
        <v>2016017</v>
      </c>
      <c r="I34" s="1637" t="s">
        <v>3137</v>
      </c>
      <c r="J34" s="1637">
        <v>39349</v>
      </c>
      <c r="K34" s="1637">
        <v>27544.3</v>
      </c>
      <c r="L34" s="1637" t="s">
        <v>3172</v>
      </c>
      <c r="M34" s="1637" t="s">
        <v>1327</v>
      </c>
      <c r="N34" s="1637" t="s">
        <v>3221</v>
      </c>
      <c r="O34" s="1637" t="s">
        <v>1327</v>
      </c>
      <c r="P34" s="1637" t="s">
        <v>1327</v>
      </c>
      <c r="Q34" s="1637" t="s">
        <v>1327</v>
      </c>
      <c r="R34" s="1637" t="s">
        <v>1327</v>
      </c>
      <c r="S34" s="1637" t="s">
        <v>1327</v>
      </c>
      <c r="T34" s="1637" t="s">
        <v>1327</v>
      </c>
      <c r="U34" s="1637" t="s">
        <v>1327</v>
      </c>
      <c r="V34" s="1637" t="s">
        <v>1327</v>
      </c>
      <c r="W34" s="1637" t="s">
        <v>3175</v>
      </c>
      <c r="X34" s="1637" t="s">
        <v>3222</v>
      </c>
      <c r="Y34" s="1637" t="s">
        <v>3223</v>
      </c>
      <c r="Z34" s="1637" t="s">
        <v>3224</v>
      </c>
      <c r="AA34" s="1637" t="s">
        <v>3224</v>
      </c>
      <c r="AB34" s="1637" t="s">
        <v>3225</v>
      </c>
      <c r="AC34" s="1637" t="s">
        <v>3147</v>
      </c>
      <c r="AD34" s="1637" t="s">
        <v>3227</v>
      </c>
      <c r="AE34" s="1637">
        <v>532</v>
      </c>
      <c r="AF34" s="1637">
        <v>532</v>
      </c>
      <c r="AG34" s="1637">
        <v>532</v>
      </c>
      <c r="AH34" s="1637">
        <v>9.01</v>
      </c>
      <c r="AI34" s="1637">
        <v>9.01</v>
      </c>
      <c r="AJ34" s="1637">
        <v>193.14</v>
      </c>
      <c r="AK34" s="1637">
        <v>193.13</v>
      </c>
      <c r="AL34" s="1637" t="s">
        <v>1327</v>
      </c>
      <c r="AM34" s="1637" t="s">
        <v>1327</v>
      </c>
      <c r="AN34" s="1637">
        <v>0</v>
      </c>
      <c r="AO34" s="1637" t="s">
        <v>3149</v>
      </c>
      <c r="AP34" s="1637" t="s">
        <v>1327</v>
      </c>
      <c r="AQ34" s="1637" t="s">
        <v>1327</v>
      </c>
      <c r="AR34" s="1637" t="s">
        <v>1327</v>
      </c>
      <c r="AS34" s="1637" t="s">
        <v>3150</v>
      </c>
    </row>
    <row r="35" spans="1:45" s="1637" customFormat="1">
      <c r="A35" s="1637" t="s">
        <v>3228</v>
      </c>
      <c r="B35" s="1637" t="s">
        <v>3136</v>
      </c>
      <c r="C35" s="1637" t="s">
        <v>3137</v>
      </c>
      <c r="D35" s="1637" t="s">
        <v>3138</v>
      </c>
      <c r="E35" s="1637" t="s">
        <v>1327</v>
      </c>
      <c r="F35" s="1637" t="s">
        <v>3228</v>
      </c>
      <c r="G35" s="1637" t="s">
        <v>3139</v>
      </c>
      <c r="H35" s="1637">
        <v>2016023</v>
      </c>
      <c r="I35" s="1637" t="s">
        <v>3137</v>
      </c>
      <c r="J35" s="1637">
        <v>11053</v>
      </c>
      <c r="K35" s="1637">
        <v>7737.1</v>
      </c>
      <c r="L35" s="1637" t="s">
        <v>3172</v>
      </c>
      <c r="M35" s="1637" t="s">
        <v>1327</v>
      </c>
      <c r="N35" s="1637" t="s">
        <v>3221</v>
      </c>
      <c r="O35" s="1637" t="s">
        <v>1327</v>
      </c>
      <c r="P35" s="1637" t="s">
        <v>1327</v>
      </c>
      <c r="Q35" s="1637" t="s">
        <v>1327</v>
      </c>
      <c r="R35" s="1637" t="s">
        <v>1327</v>
      </c>
      <c r="S35" s="1637" t="s">
        <v>1327</v>
      </c>
      <c r="T35" s="1637" t="s">
        <v>1327</v>
      </c>
      <c r="U35" s="1637" t="s">
        <v>1327</v>
      </c>
      <c r="V35" s="1637" t="s">
        <v>1327</v>
      </c>
      <c r="W35" s="1637" t="s">
        <v>3175</v>
      </c>
      <c r="X35" s="1637" t="s">
        <v>3222</v>
      </c>
      <c r="Y35" s="1637" t="s">
        <v>3223</v>
      </c>
      <c r="Z35" s="1637" t="s">
        <v>3224</v>
      </c>
      <c r="AA35" s="1637" t="s">
        <v>3224</v>
      </c>
      <c r="AB35" s="1637" t="s">
        <v>3225</v>
      </c>
      <c r="AC35" s="1637" t="s">
        <v>3147</v>
      </c>
      <c r="AD35" s="1637" t="s">
        <v>3229</v>
      </c>
      <c r="AE35" s="1637">
        <v>199</v>
      </c>
      <c r="AF35" s="1637">
        <v>199</v>
      </c>
      <c r="AG35" s="1637">
        <v>199</v>
      </c>
      <c r="AH35" s="1637">
        <v>12</v>
      </c>
      <c r="AI35" s="1637">
        <v>12</v>
      </c>
      <c r="AJ35" s="1637">
        <v>257.2</v>
      </c>
      <c r="AK35" s="1637">
        <v>257.19</v>
      </c>
      <c r="AL35" s="1637" t="s">
        <v>1327</v>
      </c>
      <c r="AM35" s="1637" t="s">
        <v>1327</v>
      </c>
      <c r="AN35" s="1637">
        <v>0</v>
      </c>
      <c r="AO35" s="1637" t="s">
        <v>3149</v>
      </c>
      <c r="AP35" s="1637" t="s">
        <v>1327</v>
      </c>
      <c r="AQ35" s="1637" t="s">
        <v>1327</v>
      </c>
      <c r="AR35" s="1637" t="s">
        <v>1327</v>
      </c>
      <c r="AS35" s="1637" t="s">
        <v>3150</v>
      </c>
    </row>
    <row r="36" spans="1:45" s="1637" customFormat="1">
      <c r="A36" s="1637" t="s">
        <v>3230</v>
      </c>
      <c r="B36" s="1637" t="s">
        <v>3136</v>
      </c>
      <c r="C36" s="1637" t="s">
        <v>3137</v>
      </c>
      <c r="D36" s="1637" t="s">
        <v>3138</v>
      </c>
      <c r="E36" s="1637" t="s">
        <v>1327</v>
      </c>
      <c r="F36" s="1637" t="s">
        <v>3230</v>
      </c>
      <c r="G36" s="1637" t="s">
        <v>3139</v>
      </c>
      <c r="H36" s="1637">
        <v>2016024</v>
      </c>
      <c r="I36" s="1637" t="s">
        <v>3152</v>
      </c>
      <c r="J36" s="1637">
        <v>1285.6600000000001</v>
      </c>
      <c r="K36" s="1637">
        <v>899.96</v>
      </c>
      <c r="L36" s="1637" t="s">
        <v>3172</v>
      </c>
      <c r="M36" s="1637" t="s">
        <v>1327</v>
      </c>
      <c r="N36" s="1637" t="s">
        <v>3221</v>
      </c>
      <c r="O36" s="1637" t="s">
        <v>1327</v>
      </c>
      <c r="P36" s="1637" t="s">
        <v>1327</v>
      </c>
      <c r="Q36" s="1637" t="s">
        <v>1327</v>
      </c>
      <c r="R36" s="1637" t="s">
        <v>1327</v>
      </c>
      <c r="S36" s="1637" t="s">
        <v>1327</v>
      </c>
      <c r="T36" s="1637" t="s">
        <v>1327</v>
      </c>
      <c r="U36" s="1637" t="s">
        <v>1327</v>
      </c>
      <c r="V36" s="1637" t="s">
        <v>1327</v>
      </c>
      <c r="W36" s="1637" t="s">
        <v>3175</v>
      </c>
      <c r="X36" s="1637" t="s">
        <v>3231</v>
      </c>
      <c r="Y36" s="1637" t="s">
        <v>3232</v>
      </c>
      <c r="Z36" s="1637" t="s">
        <v>3233</v>
      </c>
      <c r="AA36" s="1637" t="s">
        <v>3233</v>
      </c>
      <c r="AB36" s="1637" t="s">
        <v>3234</v>
      </c>
      <c r="AC36" s="1637" t="s">
        <v>3147</v>
      </c>
      <c r="AD36" s="1637" t="s">
        <v>3235</v>
      </c>
      <c r="AE36" s="1637">
        <v>31</v>
      </c>
      <c r="AF36" s="1637">
        <v>31</v>
      </c>
      <c r="AG36" s="1637">
        <v>31</v>
      </c>
      <c r="AH36" s="1637">
        <v>16.07</v>
      </c>
      <c r="AI36" s="1637">
        <v>16.07</v>
      </c>
      <c r="AJ36" s="1637">
        <v>344.45</v>
      </c>
      <c r="AK36" s="1637">
        <v>344.45</v>
      </c>
      <c r="AL36" s="1637" t="s">
        <v>1327</v>
      </c>
      <c r="AM36" s="1637" t="s">
        <v>1327</v>
      </c>
      <c r="AN36" s="1637">
        <v>0</v>
      </c>
      <c r="AO36" s="1637" t="s">
        <v>3149</v>
      </c>
      <c r="AP36" s="1637" t="s">
        <v>1327</v>
      </c>
      <c r="AQ36" s="1637" t="s">
        <v>1327</v>
      </c>
      <c r="AR36" s="1637" t="s">
        <v>1327</v>
      </c>
      <c r="AS36" s="1637" t="s">
        <v>3150</v>
      </c>
    </row>
    <row r="37" spans="1:45" s="1637" customFormat="1">
      <c r="A37" s="1637" t="s">
        <v>3135</v>
      </c>
      <c r="B37" s="1637" t="s">
        <v>3136</v>
      </c>
      <c r="C37" s="1637" t="s">
        <v>3137</v>
      </c>
      <c r="D37" s="1637" t="s">
        <v>3138</v>
      </c>
      <c r="E37" s="1637" t="s">
        <v>1327</v>
      </c>
      <c r="F37" s="1637" t="s">
        <v>3135</v>
      </c>
      <c r="G37" s="1637" t="s">
        <v>3139</v>
      </c>
      <c r="H37" s="1637">
        <v>2016014</v>
      </c>
      <c r="I37" s="1637" t="s">
        <v>3137</v>
      </c>
      <c r="J37" s="1637">
        <v>50253.4</v>
      </c>
      <c r="K37" s="1637">
        <v>35177.379999999997</v>
      </c>
      <c r="L37" s="1637" t="s">
        <v>3172</v>
      </c>
      <c r="M37" s="1637" t="s">
        <v>1327</v>
      </c>
      <c r="N37" s="1637" t="s">
        <v>3221</v>
      </c>
      <c r="O37" s="1637" t="s">
        <v>1327</v>
      </c>
      <c r="P37" s="1637" t="s">
        <v>1327</v>
      </c>
      <c r="Q37" s="1637" t="s">
        <v>1327</v>
      </c>
      <c r="R37" s="1637" t="s">
        <v>1327</v>
      </c>
      <c r="S37" s="1637" t="s">
        <v>1327</v>
      </c>
      <c r="T37" s="1637" t="s">
        <v>1327</v>
      </c>
      <c r="U37" s="1637" t="s">
        <v>1327</v>
      </c>
      <c r="V37" s="1637" t="s">
        <v>1327</v>
      </c>
      <c r="W37" s="1637" t="s">
        <v>3175</v>
      </c>
      <c r="X37" s="1637" t="s">
        <v>3236</v>
      </c>
      <c r="Y37" s="1637" t="s">
        <v>3236</v>
      </c>
      <c r="Z37" s="1637" t="s">
        <v>3237</v>
      </c>
      <c r="AA37" s="1637" t="s">
        <v>3237</v>
      </c>
      <c r="AB37" s="1637" t="s">
        <v>3238</v>
      </c>
      <c r="AC37" s="1637" t="s">
        <v>3147</v>
      </c>
      <c r="AD37" s="1637" t="s">
        <v>3239</v>
      </c>
      <c r="AE37" s="1637">
        <v>644</v>
      </c>
      <c r="AF37" s="1637">
        <v>644</v>
      </c>
      <c r="AG37" s="1637">
        <v>644</v>
      </c>
      <c r="AH37" s="1637">
        <v>8.5399999999999991</v>
      </c>
      <c r="AI37" s="1637">
        <v>8.5399999999999991</v>
      </c>
      <c r="AJ37" s="1637">
        <v>183.07</v>
      </c>
      <c r="AK37" s="1637">
        <v>183.06</v>
      </c>
      <c r="AL37" s="1637" t="s">
        <v>1327</v>
      </c>
      <c r="AM37" s="1637" t="s">
        <v>1327</v>
      </c>
      <c r="AN37" s="1637">
        <v>0</v>
      </c>
      <c r="AO37" s="1637" t="s">
        <v>3149</v>
      </c>
      <c r="AP37" s="1637" t="s">
        <v>1327</v>
      </c>
      <c r="AQ37" s="1637" t="s">
        <v>1327</v>
      </c>
      <c r="AR37" s="1637" t="s">
        <v>1327</v>
      </c>
      <c r="AS37" s="1637" t="s">
        <v>3150</v>
      </c>
    </row>
    <row r="38" spans="1:45" s="1637" customFormat="1">
      <c r="A38" s="1637" t="s">
        <v>3240</v>
      </c>
      <c r="B38" s="1637" t="s">
        <v>3136</v>
      </c>
      <c r="C38" s="1637" t="s">
        <v>3137</v>
      </c>
      <c r="D38" s="1637" t="s">
        <v>3138</v>
      </c>
      <c r="E38" s="1637" t="s">
        <v>1327</v>
      </c>
      <c r="F38" s="1637" t="s">
        <v>3240</v>
      </c>
      <c r="G38" s="1637" t="s">
        <v>3139</v>
      </c>
      <c r="H38" s="1637">
        <v>2016013</v>
      </c>
      <c r="I38" s="1637" t="s">
        <v>3137</v>
      </c>
      <c r="J38" s="1637">
        <v>23359</v>
      </c>
      <c r="K38" s="1637">
        <v>16351.3</v>
      </c>
      <c r="L38" s="1637" t="s">
        <v>3172</v>
      </c>
      <c r="M38" s="1637" t="s">
        <v>1327</v>
      </c>
      <c r="N38" s="1637" t="s">
        <v>3221</v>
      </c>
      <c r="O38" s="1637" t="s">
        <v>1327</v>
      </c>
      <c r="P38" s="1637" t="s">
        <v>1327</v>
      </c>
      <c r="Q38" s="1637" t="s">
        <v>1327</v>
      </c>
      <c r="R38" s="1637" t="s">
        <v>1327</v>
      </c>
      <c r="S38" s="1637" t="s">
        <v>1327</v>
      </c>
      <c r="T38" s="1637" t="s">
        <v>1327</v>
      </c>
      <c r="U38" s="1637" t="s">
        <v>1327</v>
      </c>
      <c r="V38" s="1637" t="s">
        <v>1327</v>
      </c>
      <c r="W38" s="1637" t="s">
        <v>3175</v>
      </c>
      <c r="X38" s="1637" t="s">
        <v>3236</v>
      </c>
      <c r="Y38" s="1637" t="s">
        <v>3236</v>
      </c>
      <c r="Z38" s="1637" t="s">
        <v>3237</v>
      </c>
      <c r="AA38" s="1637" t="s">
        <v>3237</v>
      </c>
      <c r="AB38" s="1637" t="s">
        <v>3238</v>
      </c>
      <c r="AC38" s="1637" t="s">
        <v>3147</v>
      </c>
      <c r="AD38" s="1637" t="s">
        <v>3241</v>
      </c>
      <c r="AE38" s="1637">
        <v>421</v>
      </c>
      <c r="AF38" s="1637">
        <v>421</v>
      </c>
      <c r="AG38" s="1637">
        <v>421</v>
      </c>
      <c r="AH38" s="1637">
        <v>12.02</v>
      </c>
      <c r="AI38" s="1637">
        <v>12.02</v>
      </c>
      <c r="AJ38" s="1637">
        <v>257.47000000000003</v>
      </c>
      <c r="AK38" s="1637">
        <v>257.47000000000003</v>
      </c>
      <c r="AL38" s="1637" t="s">
        <v>1327</v>
      </c>
      <c r="AM38" s="1637" t="s">
        <v>1327</v>
      </c>
      <c r="AN38" s="1637">
        <v>0</v>
      </c>
      <c r="AO38" s="1637" t="s">
        <v>3149</v>
      </c>
      <c r="AP38" s="1637" t="s">
        <v>1327</v>
      </c>
      <c r="AQ38" s="1637" t="s">
        <v>1327</v>
      </c>
      <c r="AR38" s="1637" t="s">
        <v>1327</v>
      </c>
      <c r="AS38" s="1637" t="s">
        <v>3150</v>
      </c>
    </row>
    <row r="39" spans="1:45" s="1637" customFormat="1">
      <c r="A39" s="1637" t="s">
        <v>3242</v>
      </c>
      <c r="B39" s="1637" t="s">
        <v>3136</v>
      </c>
      <c r="C39" s="1637" t="s">
        <v>3137</v>
      </c>
      <c r="D39" s="1637" t="s">
        <v>3138</v>
      </c>
      <c r="E39" s="1637" t="s">
        <v>1327</v>
      </c>
      <c r="F39" s="1637" t="s">
        <v>3242</v>
      </c>
      <c r="G39" s="1637" t="s">
        <v>3139</v>
      </c>
      <c r="H39" s="1637">
        <v>2015029</v>
      </c>
      <c r="I39" s="1637" t="s">
        <v>3137</v>
      </c>
      <c r="J39" s="1637">
        <v>6667</v>
      </c>
      <c r="K39" s="1637">
        <v>4666.8999999999996</v>
      </c>
      <c r="L39" s="1637" t="s">
        <v>3172</v>
      </c>
      <c r="M39" s="1637" t="s">
        <v>1327</v>
      </c>
      <c r="N39" s="1637" t="s">
        <v>3221</v>
      </c>
      <c r="O39" s="1637" t="s">
        <v>1327</v>
      </c>
      <c r="P39" s="1637" t="s">
        <v>1327</v>
      </c>
      <c r="Q39" s="1637" t="s">
        <v>1327</v>
      </c>
      <c r="R39" s="1637" t="s">
        <v>1327</v>
      </c>
      <c r="S39" s="1637" t="s">
        <v>1327</v>
      </c>
      <c r="T39" s="1637" t="s">
        <v>1327</v>
      </c>
      <c r="U39" s="1637" t="s">
        <v>1327</v>
      </c>
      <c r="V39" s="1637" t="s">
        <v>1327</v>
      </c>
      <c r="W39" s="1637" t="s">
        <v>3175</v>
      </c>
      <c r="X39" s="1637" t="s">
        <v>3236</v>
      </c>
      <c r="Y39" s="1637" t="s">
        <v>3236</v>
      </c>
      <c r="Z39" s="1637" t="s">
        <v>3237</v>
      </c>
      <c r="AA39" s="1637" t="s">
        <v>3237</v>
      </c>
      <c r="AB39" s="1637" t="s">
        <v>3238</v>
      </c>
      <c r="AC39" s="1637" t="s">
        <v>3147</v>
      </c>
      <c r="AD39" s="1637" t="s">
        <v>3243</v>
      </c>
      <c r="AE39" s="1637">
        <v>121</v>
      </c>
      <c r="AF39" s="1637">
        <v>121</v>
      </c>
      <c r="AG39" s="1637">
        <v>121</v>
      </c>
      <c r="AH39" s="1637">
        <v>12.1</v>
      </c>
      <c r="AI39" s="1637">
        <v>12.1</v>
      </c>
      <c r="AJ39" s="1637">
        <v>259.27</v>
      </c>
      <c r="AK39" s="1637">
        <v>259.26</v>
      </c>
      <c r="AL39" s="1637" t="s">
        <v>1327</v>
      </c>
      <c r="AM39" s="1637" t="s">
        <v>1327</v>
      </c>
      <c r="AN39" s="1637">
        <v>0</v>
      </c>
      <c r="AO39" s="1637" t="s">
        <v>3149</v>
      </c>
      <c r="AP39" s="1637" t="s">
        <v>1327</v>
      </c>
      <c r="AQ39" s="1637" t="s">
        <v>1327</v>
      </c>
      <c r="AR39" s="1637" t="s">
        <v>1327</v>
      </c>
      <c r="AS39" s="1637" t="s">
        <v>3150</v>
      </c>
    </row>
    <row r="40" spans="1:45" s="1637" customFormat="1">
      <c r="A40" s="1637" t="s">
        <v>3167</v>
      </c>
      <c r="B40" s="1637" t="s">
        <v>3136</v>
      </c>
      <c r="C40" s="1637" t="s">
        <v>3137</v>
      </c>
      <c r="D40" s="1637" t="s">
        <v>3138</v>
      </c>
      <c r="E40" s="1637" t="s">
        <v>1327</v>
      </c>
      <c r="F40" s="1637" t="s">
        <v>3167</v>
      </c>
      <c r="G40" s="1637" t="s">
        <v>3139</v>
      </c>
      <c r="H40" s="1637">
        <v>2016010</v>
      </c>
      <c r="I40" s="1637" t="s">
        <v>3137</v>
      </c>
      <c r="J40" s="1637">
        <v>22859</v>
      </c>
      <c r="K40" s="1637">
        <v>16001.3</v>
      </c>
      <c r="L40" s="1637" t="s">
        <v>3172</v>
      </c>
      <c r="M40" s="1637" t="s">
        <v>1327</v>
      </c>
      <c r="N40" s="1637" t="s">
        <v>3207</v>
      </c>
      <c r="O40" s="1637" t="s">
        <v>1327</v>
      </c>
      <c r="P40" s="1637" t="s">
        <v>1327</v>
      </c>
      <c r="Q40" s="1637" t="s">
        <v>1327</v>
      </c>
      <c r="R40" s="1637" t="s">
        <v>1327</v>
      </c>
      <c r="S40" s="1637" t="s">
        <v>1327</v>
      </c>
      <c r="T40" s="1637" t="s">
        <v>1327</v>
      </c>
      <c r="U40" s="1637" t="s">
        <v>1327</v>
      </c>
      <c r="V40" s="1637" t="s">
        <v>1327</v>
      </c>
      <c r="W40" s="1637" t="s">
        <v>3244</v>
      </c>
      <c r="X40" s="1637" t="s">
        <v>3245</v>
      </c>
      <c r="Y40" s="1637" t="s">
        <v>3246</v>
      </c>
      <c r="Z40" s="1637" t="s">
        <v>3247</v>
      </c>
      <c r="AA40" s="1637" t="s">
        <v>3248</v>
      </c>
      <c r="AB40" s="1637" t="s">
        <v>3249</v>
      </c>
      <c r="AC40" s="1637" t="s">
        <v>3147</v>
      </c>
      <c r="AD40" s="1637" t="s">
        <v>3250</v>
      </c>
      <c r="AE40" s="1637">
        <v>412</v>
      </c>
      <c r="AF40" s="1637">
        <v>412</v>
      </c>
      <c r="AG40" s="1637">
        <v>412</v>
      </c>
      <c r="AH40" s="1637">
        <v>12.02</v>
      </c>
      <c r="AI40" s="1637">
        <v>12.02</v>
      </c>
      <c r="AJ40" s="1637">
        <v>257.47000000000003</v>
      </c>
      <c r="AK40" s="1637">
        <v>257.48</v>
      </c>
      <c r="AL40" s="1637" t="s">
        <v>1327</v>
      </c>
      <c r="AM40" s="1637" t="s">
        <v>1327</v>
      </c>
      <c r="AN40" s="1637">
        <v>0</v>
      </c>
      <c r="AO40" s="1637" t="s">
        <v>3149</v>
      </c>
      <c r="AP40" s="1637" t="s">
        <v>1327</v>
      </c>
      <c r="AQ40" s="1637" t="s">
        <v>1327</v>
      </c>
      <c r="AR40" s="1637" t="s">
        <v>1327</v>
      </c>
      <c r="AS40" s="1637" t="s">
        <v>3150</v>
      </c>
    </row>
    <row r="41" spans="1:45" s="1637" customFormat="1">
      <c r="A41" s="1637" t="s">
        <v>3251</v>
      </c>
      <c r="B41" s="1637" t="s">
        <v>3136</v>
      </c>
      <c r="C41" s="1637" t="s">
        <v>3137</v>
      </c>
      <c r="D41" s="1637" t="s">
        <v>3138</v>
      </c>
      <c r="E41" s="1637" t="s">
        <v>1327</v>
      </c>
      <c r="F41" s="1637" t="s">
        <v>3251</v>
      </c>
      <c r="G41" s="1637" t="s">
        <v>3139</v>
      </c>
      <c r="H41" s="1637">
        <v>2016009</v>
      </c>
      <c r="I41" s="1637" t="s">
        <v>3137</v>
      </c>
      <c r="J41" s="1637">
        <v>33333</v>
      </c>
      <c r="K41" s="1637">
        <v>23333.1</v>
      </c>
      <c r="L41" s="1637" t="s">
        <v>3172</v>
      </c>
      <c r="M41" s="1637" t="s">
        <v>1327</v>
      </c>
      <c r="N41" s="1637" t="s">
        <v>3207</v>
      </c>
      <c r="O41" s="1637" t="s">
        <v>1327</v>
      </c>
      <c r="P41" s="1637" t="s">
        <v>1327</v>
      </c>
      <c r="Q41" s="1637" t="s">
        <v>1327</v>
      </c>
      <c r="R41" s="1637" t="s">
        <v>1327</v>
      </c>
      <c r="S41" s="1637" t="s">
        <v>1327</v>
      </c>
      <c r="T41" s="1637" t="s">
        <v>1327</v>
      </c>
      <c r="U41" s="1637" t="s">
        <v>1327</v>
      </c>
      <c r="V41" s="1637" t="s">
        <v>1327</v>
      </c>
      <c r="W41" s="1637" t="s">
        <v>3244</v>
      </c>
      <c r="X41" s="1637" t="s">
        <v>3245</v>
      </c>
      <c r="Y41" s="1637" t="s">
        <v>3246</v>
      </c>
      <c r="Z41" s="1637" t="s">
        <v>3248</v>
      </c>
      <c r="AA41" s="1637" t="s">
        <v>3248</v>
      </c>
      <c r="AB41" s="1637" t="s">
        <v>3249</v>
      </c>
      <c r="AC41" s="1637" t="s">
        <v>3147</v>
      </c>
      <c r="AD41" s="1637" t="s">
        <v>3252</v>
      </c>
      <c r="AE41" s="1637">
        <v>600</v>
      </c>
      <c r="AF41" s="1637">
        <v>600</v>
      </c>
      <c r="AG41" s="1637">
        <v>600</v>
      </c>
      <c r="AH41" s="1637">
        <v>12</v>
      </c>
      <c r="AI41" s="1637">
        <v>12</v>
      </c>
      <c r="AJ41" s="1637">
        <v>257.14</v>
      </c>
      <c r="AK41" s="1637">
        <v>257.14</v>
      </c>
      <c r="AL41" s="1637" t="s">
        <v>1327</v>
      </c>
      <c r="AM41" s="1637" t="s">
        <v>1327</v>
      </c>
      <c r="AN41" s="1637">
        <v>0</v>
      </c>
      <c r="AO41" s="1637" t="s">
        <v>3149</v>
      </c>
      <c r="AP41" s="1637" t="s">
        <v>1327</v>
      </c>
      <c r="AQ41" s="1637" t="s">
        <v>1327</v>
      </c>
      <c r="AR41" s="1637" t="s">
        <v>1327</v>
      </c>
      <c r="AS41" s="1637" t="s">
        <v>3150</v>
      </c>
    </row>
    <row r="42" spans="1:45" s="1637" customFormat="1">
      <c r="A42" s="1637" t="s">
        <v>3242</v>
      </c>
      <c r="B42" s="1637" t="s">
        <v>3136</v>
      </c>
      <c r="C42" s="1637" t="s">
        <v>3137</v>
      </c>
      <c r="D42" s="1637" t="s">
        <v>3138</v>
      </c>
      <c r="E42" s="1637" t="s">
        <v>1327</v>
      </c>
      <c r="F42" s="1637" t="s">
        <v>3242</v>
      </c>
      <c r="G42" s="1637" t="s">
        <v>3139</v>
      </c>
      <c r="H42" s="1637">
        <v>2016005</v>
      </c>
      <c r="I42" s="1637" t="s">
        <v>3137</v>
      </c>
      <c r="J42" s="1637">
        <v>441</v>
      </c>
      <c r="K42" s="1637">
        <v>308.7</v>
      </c>
      <c r="L42" s="1637" t="s">
        <v>3172</v>
      </c>
      <c r="M42" s="1637" t="s">
        <v>1327</v>
      </c>
      <c r="N42" s="1637" t="s">
        <v>3207</v>
      </c>
      <c r="O42" s="1637" t="s">
        <v>1327</v>
      </c>
      <c r="P42" s="1637" t="s">
        <v>1327</v>
      </c>
      <c r="Q42" s="1637" t="s">
        <v>1327</v>
      </c>
      <c r="R42" s="1637" t="s">
        <v>1327</v>
      </c>
      <c r="S42" s="1637" t="s">
        <v>1327</v>
      </c>
      <c r="T42" s="1637" t="s">
        <v>1327</v>
      </c>
      <c r="U42" s="1637" t="s">
        <v>1327</v>
      </c>
      <c r="V42" s="1637" t="s">
        <v>1327</v>
      </c>
      <c r="W42" s="1637" t="s">
        <v>3244</v>
      </c>
      <c r="X42" s="1637" t="s">
        <v>3245</v>
      </c>
      <c r="Y42" s="1637" t="s">
        <v>3246</v>
      </c>
      <c r="Z42" s="1637" t="s">
        <v>3248</v>
      </c>
      <c r="AA42" s="1637" t="s">
        <v>3248</v>
      </c>
      <c r="AB42" s="1637" t="s">
        <v>3249</v>
      </c>
      <c r="AC42" s="1637" t="s">
        <v>3147</v>
      </c>
      <c r="AD42" s="1637" t="s">
        <v>3253</v>
      </c>
      <c r="AE42" s="1637">
        <v>8</v>
      </c>
      <c r="AF42" s="1637">
        <v>8</v>
      </c>
      <c r="AG42" s="1637">
        <v>8</v>
      </c>
      <c r="AH42" s="1637">
        <v>12.09</v>
      </c>
      <c r="AI42" s="1637">
        <v>12.09</v>
      </c>
      <c r="AJ42" s="1637">
        <v>259.14999999999998</v>
      </c>
      <c r="AK42" s="1637">
        <v>259.14</v>
      </c>
      <c r="AL42" s="1637" t="s">
        <v>1327</v>
      </c>
      <c r="AM42" s="1637" t="s">
        <v>1327</v>
      </c>
      <c r="AN42" s="1637">
        <v>0</v>
      </c>
      <c r="AO42" s="1637" t="s">
        <v>3149</v>
      </c>
      <c r="AP42" s="1637" t="s">
        <v>1327</v>
      </c>
      <c r="AQ42" s="1637" t="s">
        <v>1327</v>
      </c>
      <c r="AR42" s="1637" t="s">
        <v>1327</v>
      </c>
      <c r="AS42" s="1637" t="s">
        <v>3150</v>
      </c>
    </row>
    <row r="43" spans="1:45" s="1637" customFormat="1">
      <c r="A43" s="1637" t="s">
        <v>3254</v>
      </c>
      <c r="B43" s="1637" t="s">
        <v>3136</v>
      </c>
      <c r="C43" s="1637" t="s">
        <v>3137</v>
      </c>
      <c r="D43" s="1637" t="s">
        <v>3138</v>
      </c>
      <c r="E43" s="1637" t="s">
        <v>1327</v>
      </c>
      <c r="F43" s="1637" t="s">
        <v>3254</v>
      </c>
      <c r="G43" s="1637" t="s">
        <v>3139</v>
      </c>
      <c r="H43" s="1637">
        <v>2015040</v>
      </c>
      <c r="I43" s="1637" t="s">
        <v>3137</v>
      </c>
      <c r="J43" s="1637">
        <v>13082</v>
      </c>
      <c r="K43" s="1637">
        <v>9157.4</v>
      </c>
      <c r="L43" s="1637" t="s">
        <v>3172</v>
      </c>
      <c r="M43" s="1637" t="s">
        <v>1327</v>
      </c>
      <c r="N43" s="1637" t="s">
        <v>3221</v>
      </c>
      <c r="O43" s="1637" t="s">
        <v>1327</v>
      </c>
      <c r="P43" s="1637" t="s">
        <v>1327</v>
      </c>
      <c r="Q43" s="1637" t="s">
        <v>1327</v>
      </c>
      <c r="R43" s="1637" t="s">
        <v>1327</v>
      </c>
      <c r="S43" s="1637" t="s">
        <v>1327</v>
      </c>
      <c r="T43" s="1637" t="s">
        <v>1327</v>
      </c>
      <c r="U43" s="1637" t="s">
        <v>1327</v>
      </c>
      <c r="V43" s="1637" t="s">
        <v>1327</v>
      </c>
      <c r="W43" s="1637" t="s">
        <v>3175</v>
      </c>
      <c r="X43" s="1637" t="s">
        <v>3255</v>
      </c>
      <c r="Y43" s="1637" t="s">
        <v>3256</v>
      </c>
      <c r="Z43" s="1637" t="s">
        <v>3257</v>
      </c>
      <c r="AA43" s="1637" t="s">
        <v>3257</v>
      </c>
      <c r="AB43" s="1637" t="s">
        <v>3258</v>
      </c>
      <c r="AC43" s="1637" t="s">
        <v>3147</v>
      </c>
      <c r="AD43" s="1637" t="s">
        <v>3259</v>
      </c>
      <c r="AE43" s="1637">
        <v>167</v>
      </c>
      <c r="AF43" s="1637">
        <v>167</v>
      </c>
      <c r="AG43" s="1637">
        <v>167</v>
      </c>
      <c r="AH43" s="1637">
        <v>8.51</v>
      </c>
      <c r="AI43" s="1637">
        <v>8.51</v>
      </c>
      <c r="AJ43" s="1637">
        <v>182.36</v>
      </c>
      <c r="AK43" s="1637">
        <v>182.37</v>
      </c>
      <c r="AL43" s="1637" t="s">
        <v>1327</v>
      </c>
      <c r="AM43" s="1637" t="s">
        <v>1327</v>
      </c>
      <c r="AN43" s="1637">
        <v>0</v>
      </c>
      <c r="AO43" s="1637" t="s">
        <v>3149</v>
      </c>
      <c r="AP43" s="1637" t="s">
        <v>1327</v>
      </c>
      <c r="AQ43" s="1637" t="s">
        <v>1327</v>
      </c>
      <c r="AR43" s="1637" t="s">
        <v>1327</v>
      </c>
      <c r="AS43" s="1637" t="s">
        <v>3150</v>
      </c>
    </row>
    <row r="44" spans="1:45" s="1637" customFormat="1">
      <c r="A44" s="1637" t="s">
        <v>3260</v>
      </c>
      <c r="B44" s="1637" t="s">
        <v>3136</v>
      </c>
      <c r="C44" s="1637" t="s">
        <v>3137</v>
      </c>
      <c r="D44" s="1637" t="s">
        <v>3138</v>
      </c>
      <c r="E44" s="1637" t="s">
        <v>1327</v>
      </c>
      <c r="F44" s="1637" t="s">
        <v>3260</v>
      </c>
      <c r="G44" s="1637" t="s">
        <v>3139</v>
      </c>
      <c r="H44" s="1637">
        <v>2015039</v>
      </c>
      <c r="I44" s="1637" t="s">
        <v>3137</v>
      </c>
      <c r="J44" s="1637">
        <v>5513</v>
      </c>
      <c r="K44" s="1637">
        <v>3859.1</v>
      </c>
      <c r="L44" s="1637" t="s">
        <v>3172</v>
      </c>
      <c r="M44" s="1637" t="s">
        <v>1327</v>
      </c>
      <c r="N44" s="1637" t="s">
        <v>3221</v>
      </c>
      <c r="O44" s="1637" t="s">
        <v>1327</v>
      </c>
      <c r="P44" s="1637" t="s">
        <v>1327</v>
      </c>
      <c r="Q44" s="1637" t="s">
        <v>1327</v>
      </c>
      <c r="R44" s="1637" t="s">
        <v>1327</v>
      </c>
      <c r="S44" s="1637" t="s">
        <v>1327</v>
      </c>
      <c r="T44" s="1637" t="s">
        <v>1327</v>
      </c>
      <c r="U44" s="1637" t="s">
        <v>1327</v>
      </c>
      <c r="V44" s="1637" t="s">
        <v>1327</v>
      </c>
      <c r="W44" s="1637" t="s">
        <v>3175</v>
      </c>
      <c r="X44" s="1637" t="s">
        <v>3255</v>
      </c>
      <c r="Y44" s="1637" t="s">
        <v>3256</v>
      </c>
      <c r="Z44" s="1637" t="s">
        <v>3257</v>
      </c>
      <c r="AA44" s="1637" t="s">
        <v>3257</v>
      </c>
      <c r="AB44" s="1637" t="s">
        <v>3258</v>
      </c>
      <c r="AC44" s="1637" t="s">
        <v>3147</v>
      </c>
      <c r="AD44" s="1637" t="s">
        <v>3261</v>
      </c>
      <c r="AE44" s="1637">
        <v>67</v>
      </c>
      <c r="AF44" s="1637">
        <v>67</v>
      </c>
      <c r="AG44" s="1637">
        <v>67</v>
      </c>
      <c r="AH44" s="1637">
        <v>8.1</v>
      </c>
      <c r="AI44" s="1637">
        <v>8.1</v>
      </c>
      <c r="AJ44" s="1637">
        <v>173.61</v>
      </c>
      <c r="AK44" s="1637">
        <v>173.62</v>
      </c>
      <c r="AL44" s="1637" t="s">
        <v>1327</v>
      </c>
      <c r="AM44" s="1637" t="s">
        <v>1327</v>
      </c>
      <c r="AN44" s="1637">
        <v>0</v>
      </c>
      <c r="AO44" s="1637" t="s">
        <v>3149</v>
      </c>
      <c r="AP44" s="1637" t="s">
        <v>1327</v>
      </c>
      <c r="AQ44" s="1637" t="s">
        <v>1327</v>
      </c>
      <c r="AR44" s="1637" t="s">
        <v>1327</v>
      </c>
      <c r="AS44" s="1637" t="s">
        <v>3150</v>
      </c>
    </row>
    <row r="45" spans="1:45" s="2963" customFormat="1">
      <c r="A45" s="2963" t="s">
        <v>3262</v>
      </c>
      <c r="B45" s="2963" t="s">
        <v>3136</v>
      </c>
      <c r="C45" s="2963" t="s">
        <v>3137</v>
      </c>
      <c r="D45" s="2963" t="s">
        <v>3138</v>
      </c>
      <c r="E45" s="2963" t="s">
        <v>1327</v>
      </c>
      <c r="F45" s="2963" t="s">
        <v>3262</v>
      </c>
      <c r="G45" s="2963" t="s">
        <v>3139</v>
      </c>
      <c r="H45" s="2963">
        <v>2015035</v>
      </c>
      <c r="I45" s="2963" t="s">
        <v>3137</v>
      </c>
      <c r="J45" s="2963">
        <v>26667</v>
      </c>
      <c r="K45" s="2963">
        <v>18666.900000000001</v>
      </c>
      <c r="L45" s="2963" t="s">
        <v>3172</v>
      </c>
      <c r="M45" s="2963" t="s">
        <v>1327</v>
      </c>
      <c r="N45" s="2963" t="s">
        <v>3221</v>
      </c>
      <c r="O45" s="2963" t="s">
        <v>1327</v>
      </c>
      <c r="P45" s="2963" t="s">
        <v>1327</v>
      </c>
      <c r="Q45" s="2963" t="s">
        <v>1327</v>
      </c>
      <c r="R45" s="2963" t="s">
        <v>1327</v>
      </c>
      <c r="S45" s="2963" t="s">
        <v>1327</v>
      </c>
      <c r="T45" s="2963" t="s">
        <v>1327</v>
      </c>
      <c r="U45" s="2963" t="s">
        <v>1327</v>
      </c>
      <c r="V45" s="2963" t="s">
        <v>1327</v>
      </c>
      <c r="W45" s="2963" t="s">
        <v>3244</v>
      </c>
      <c r="X45" s="2963" t="s">
        <v>3263</v>
      </c>
      <c r="Y45" s="2963" t="s">
        <v>3264</v>
      </c>
      <c r="Z45" s="2963" t="s">
        <v>3265</v>
      </c>
      <c r="AA45" s="2963" t="s">
        <v>3265</v>
      </c>
      <c r="AB45" s="2963" t="s">
        <v>3266</v>
      </c>
      <c r="AC45" s="2963" t="s">
        <v>3147</v>
      </c>
      <c r="AD45" s="2963" t="s">
        <v>3267</v>
      </c>
      <c r="AE45" s="2963">
        <v>320</v>
      </c>
      <c r="AF45" s="2963">
        <v>320</v>
      </c>
      <c r="AG45" s="2963">
        <v>320</v>
      </c>
      <c r="AH45" s="2963">
        <v>8</v>
      </c>
      <c r="AI45" s="2963">
        <v>8</v>
      </c>
      <c r="AJ45" s="2963">
        <v>171.42</v>
      </c>
      <c r="AK45" s="2963">
        <v>171.43</v>
      </c>
      <c r="AL45" s="2963" t="s">
        <v>1327</v>
      </c>
      <c r="AM45" s="2963" t="s">
        <v>1327</v>
      </c>
      <c r="AN45" s="2963">
        <v>0</v>
      </c>
      <c r="AO45" s="2963" t="s">
        <v>3149</v>
      </c>
      <c r="AP45" s="2963" t="s">
        <v>1327</v>
      </c>
      <c r="AQ45" s="2963" t="s">
        <v>1327</v>
      </c>
      <c r="AR45" s="2963" t="s">
        <v>1327</v>
      </c>
      <c r="AS45" s="2963" t="s">
        <v>3150</v>
      </c>
    </row>
    <row r="46" spans="1:45" s="2963" customFormat="1">
      <c r="A46" s="2963" t="s">
        <v>3268</v>
      </c>
      <c r="B46" s="2963" t="s">
        <v>3136</v>
      </c>
      <c r="C46" s="2963" t="s">
        <v>3137</v>
      </c>
      <c r="D46" s="2963" t="s">
        <v>3138</v>
      </c>
      <c r="E46" s="2963" t="s">
        <v>1327</v>
      </c>
      <c r="F46" s="2963" t="s">
        <v>3268</v>
      </c>
      <c r="G46" s="2963" t="s">
        <v>3139</v>
      </c>
      <c r="H46" s="2963">
        <v>2015034</v>
      </c>
      <c r="I46" s="2963" t="s">
        <v>3137</v>
      </c>
      <c r="J46" s="2963">
        <v>28983</v>
      </c>
      <c r="K46" s="2963">
        <v>20288.099999999999</v>
      </c>
      <c r="L46" s="2963" t="s">
        <v>3172</v>
      </c>
      <c r="M46" s="2963" t="s">
        <v>1327</v>
      </c>
      <c r="N46" s="2963" t="s">
        <v>3221</v>
      </c>
      <c r="O46" s="2963" t="s">
        <v>1327</v>
      </c>
      <c r="P46" s="2963" t="s">
        <v>1327</v>
      </c>
      <c r="Q46" s="2963" t="s">
        <v>1327</v>
      </c>
      <c r="R46" s="2963" t="s">
        <v>1327</v>
      </c>
      <c r="S46" s="2963" t="s">
        <v>1327</v>
      </c>
      <c r="T46" s="2963" t="s">
        <v>1327</v>
      </c>
      <c r="U46" s="2963" t="s">
        <v>1327</v>
      </c>
      <c r="V46" s="2963" t="s">
        <v>1327</v>
      </c>
      <c r="W46" s="2963" t="s">
        <v>3244</v>
      </c>
      <c r="X46" s="2963" t="s">
        <v>3263</v>
      </c>
      <c r="Y46" s="2963" t="s">
        <v>3264</v>
      </c>
      <c r="Z46" s="2963" t="s">
        <v>3265</v>
      </c>
      <c r="AA46" s="2963" t="s">
        <v>3265</v>
      </c>
      <c r="AB46" s="2963" t="s">
        <v>3266</v>
      </c>
      <c r="AC46" s="2963" t="s">
        <v>3147</v>
      </c>
      <c r="AD46" s="2963" t="s">
        <v>3269</v>
      </c>
      <c r="AE46" s="2963">
        <v>348</v>
      </c>
      <c r="AF46" s="2963">
        <v>348</v>
      </c>
      <c r="AG46" s="2963">
        <v>348</v>
      </c>
      <c r="AH46" s="2963">
        <v>8</v>
      </c>
      <c r="AI46" s="2963">
        <v>8</v>
      </c>
      <c r="AJ46" s="2963">
        <v>171.52</v>
      </c>
      <c r="AK46" s="2963">
        <v>171.53</v>
      </c>
      <c r="AL46" s="2963" t="s">
        <v>1327</v>
      </c>
      <c r="AM46" s="2963" t="s">
        <v>1327</v>
      </c>
      <c r="AN46" s="2963">
        <v>0</v>
      </c>
      <c r="AO46" s="2963" t="s">
        <v>3149</v>
      </c>
      <c r="AP46" s="2963" t="s">
        <v>1327</v>
      </c>
      <c r="AQ46" s="2963" t="s">
        <v>1327</v>
      </c>
      <c r="AR46" s="2963" t="s">
        <v>1327</v>
      </c>
      <c r="AS46" s="2963" t="s">
        <v>3150</v>
      </c>
    </row>
    <row r="47" spans="1:45" s="2963" customFormat="1">
      <c r="A47" s="2963" t="s">
        <v>3270</v>
      </c>
      <c r="B47" s="2963" t="s">
        <v>3136</v>
      </c>
      <c r="C47" s="2963" t="s">
        <v>3137</v>
      </c>
      <c r="D47" s="2963" t="s">
        <v>3138</v>
      </c>
      <c r="E47" s="2963" t="s">
        <v>1327</v>
      </c>
      <c r="F47" s="2963" t="s">
        <v>3270</v>
      </c>
      <c r="G47" s="2963" t="s">
        <v>3139</v>
      </c>
      <c r="H47" s="2963">
        <v>2015037</v>
      </c>
      <c r="I47" s="2963" t="s">
        <v>3137</v>
      </c>
      <c r="J47" s="2963">
        <v>26821</v>
      </c>
      <c r="K47" s="2963">
        <v>18774.7</v>
      </c>
      <c r="L47" s="2963" t="s">
        <v>3172</v>
      </c>
      <c r="M47" s="2963" t="s">
        <v>1327</v>
      </c>
      <c r="N47" s="2963" t="s">
        <v>3221</v>
      </c>
      <c r="O47" s="2963" t="s">
        <v>1327</v>
      </c>
      <c r="P47" s="2963" t="s">
        <v>1327</v>
      </c>
      <c r="Q47" s="2963" t="s">
        <v>1327</v>
      </c>
      <c r="R47" s="2963" t="s">
        <v>1327</v>
      </c>
      <c r="S47" s="2963" t="s">
        <v>1327</v>
      </c>
      <c r="T47" s="2963" t="s">
        <v>1327</v>
      </c>
      <c r="U47" s="2963" t="s">
        <v>1327</v>
      </c>
      <c r="V47" s="2963" t="s">
        <v>1327</v>
      </c>
      <c r="W47" s="2963" t="s">
        <v>3244</v>
      </c>
      <c r="X47" s="2963" t="s">
        <v>3271</v>
      </c>
      <c r="Y47" s="2963" t="s">
        <v>3272</v>
      </c>
      <c r="Z47" s="2963" t="s">
        <v>3273</v>
      </c>
      <c r="AA47" s="2963" t="s">
        <v>3273</v>
      </c>
      <c r="AB47" s="2963" t="s">
        <v>3274</v>
      </c>
      <c r="AC47" s="2963" t="s">
        <v>3147</v>
      </c>
      <c r="AD47" s="2963" t="s">
        <v>3275</v>
      </c>
      <c r="AE47" s="2963">
        <v>483</v>
      </c>
      <c r="AF47" s="2963">
        <v>483</v>
      </c>
      <c r="AG47" s="2963">
        <v>483</v>
      </c>
      <c r="AH47" s="2963">
        <v>12.01</v>
      </c>
      <c r="AI47" s="2963">
        <v>12.01</v>
      </c>
      <c r="AJ47" s="2963">
        <v>257.26</v>
      </c>
      <c r="AK47" s="2963">
        <v>257.25</v>
      </c>
      <c r="AL47" s="2963" t="s">
        <v>1327</v>
      </c>
      <c r="AM47" s="2963" t="s">
        <v>1327</v>
      </c>
      <c r="AN47" s="2963">
        <v>0</v>
      </c>
      <c r="AO47" s="2963" t="s">
        <v>3149</v>
      </c>
      <c r="AP47" s="2963" t="s">
        <v>1327</v>
      </c>
      <c r="AQ47" s="2963" t="s">
        <v>1327</v>
      </c>
      <c r="AR47" s="2963" t="s">
        <v>1327</v>
      </c>
      <c r="AS47" s="2963" t="s">
        <v>3150</v>
      </c>
    </row>
    <row r="48" spans="1:45" s="2963" customFormat="1">
      <c r="A48" s="2963" t="s">
        <v>3242</v>
      </c>
      <c r="B48" s="2963" t="s">
        <v>3136</v>
      </c>
      <c r="C48" s="2963" t="s">
        <v>3137</v>
      </c>
      <c r="D48" s="2963" t="s">
        <v>3138</v>
      </c>
      <c r="E48" s="2963" t="s">
        <v>1327</v>
      </c>
      <c r="F48" s="2963" t="s">
        <v>3242</v>
      </c>
      <c r="G48" s="2963" t="s">
        <v>3139</v>
      </c>
      <c r="H48" s="2963">
        <v>2015031</v>
      </c>
      <c r="I48" s="2963" t="s">
        <v>3137</v>
      </c>
      <c r="J48" s="2963">
        <v>6870</v>
      </c>
      <c r="K48" s="2963">
        <v>4809</v>
      </c>
      <c r="L48" s="2963" t="s">
        <v>3172</v>
      </c>
      <c r="M48" s="2963" t="s">
        <v>1327</v>
      </c>
      <c r="N48" s="2963" t="s">
        <v>3221</v>
      </c>
      <c r="O48" s="2963" t="s">
        <v>1327</v>
      </c>
      <c r="P48" s="2963" t="s">
        <v>1327</v>
      </c>
      <c r="Q48" s="2963" t="s">
        <v>1327</v>
      </c>
      <c r="R48" s="2963" t="s">
        <v>1327</v>
      </c>
      <c r="S48" s="2963" t="s">
        <v>1327</v>
      </c>
      <c r="T48" s="2963" t="s">
        <v>1327</v>
      </c>
      <c r="U48" s="2963" t="s">
        <v>1327</v>
      </c>
      <c r="V48" s="2963" t="s">
        <v>1327</v>
      </c>
      <c r="W48" s="2963" t="s">
        <v>3244</v>
      </c>
      <c r="X48" s="2963" t="s">
        <v>3271</v>
      </c>
      <c r="Y48" s="2963" t="s">
        <v>3272</v>
      </c>
      <c r="Z48" s="2963" t="s">
        <v>3273</v>
      </c>
      <c r="AA48" s="2963" t="s">
        <v>3273</v>
      </c>
      <c r="AB48" s="2963" t="s">
        <v>3274</v>
      </c>
      <c r="AC48" s="2963" t="s">
        <v>3147</v>
      </c>
      <c r="AD48" s="2963" t="s">
        <v>3276</v>
      </c>
      <c r="AE48" s="2963">
        <v>124</v>
      </c>
      <c r="AF48" s="2963">
        <v>124</v>
      </c>
      <c r="AG48" s="2963">
        <v>124</v>
      </c>
      <c r="AH48" s="2963">
        <v>12.03</v>
      </c>
      <c r="AI48" s="2963">
        <v>12.03</v>
      </c>
      <c r="AJ48" s="2963">
        <v>257.83999999999997</v>
      </c>
      <c r="AK48" s="2963">
        <v>257.85000000000002</v>
      </c>
      <c r="AL48" s="2963" t="s">
        <v>1327</v>
      </c>
      <c r="AM48" s="2963" t="s">
        <v>1327</v>
      </c>
      <c r="AN48" s="2963">
        <v>0</v>
      </c>
      <c r="AO48" s="2963" t="s">
        <v>3149</v>
      </c>
      <c r="AP48" s="2963" t="s">
        <v>1327</v>
      </c>
      <c r="AQ48" s="2963" t="s">
        <v>1327</v>
      </c>
      <c r="AR48" s="2963" t="s">
        <v>1327</v>
      </c>
      <c r="AS48" s="2963" t="s">
        <v>3150</v>
      </c>
    </row>
    <row r="49" spans="1:45" s="2963" customFormat="1">
      <c r="A49" s="2963" t="s">
        <v>3277</v>
      </c>
      <c r="B49" s="2963" t="s">
        <v>3136</v>
      </c>
      <c r="C49" s="2963" t="s">
        <v>3137</v>
      </c>
      <c r="D49" s="2963" t="s">
        <v>3138</v>
      </c>
      <c r="E49" s="2963" t="s">
        <v>1327</v>
      </c>
      <c r="F49" s="2963" t="s">
        <v>3277</v>
      </c>
      <c r="G49" s="2963" t="s">
        <v>3139</v>
      </c>
      <c r="H49" s="2963">
        <v>2015023</v>
      </c>
      <c r="I49" s="2963" t="s">
        <v>3152</v>
      </c>
      <c r="J49" s="2963">
        <v>5636</v>
      </c>
      <c r="K49" s="2963">
        <v>3945.2</v>
      </c>
      <c r="L49" s="2963" t="s">
        <v>3172</v>
      </c>
      <c r="M49" s="2963" t="s">
        <v>1327</v>
      </c>
      <c r="N49" s="2963" t="s">
        <v>3221</v>
      </c>
      <c r="O49" s="2963" t="s">
        <v>1327</v>
      </c>
      <c r="P49" s="2963" t="s">
        <v>1327</v>
      </c>
      <c r="Q49" s="2963" t="s">
        <v>1327</v>
      </c>
      <c r="R49" s="2963" t="s">
        <v>1327</v>
      </c>
      <c r="S49" s="2963" t="s">
        <v>1327</v>
      </c>
      <c r="T49" s="2963" t="s">
        <v>1327</v>
      </c>
      <c r="U49" s="2963" t="s">
        <v>1327</v>
      </c>
      <c r="V49" s="2963" t="s">
        <v>1327</v>
      </c>
      <c r="W49" s="2963" t="s">
        <v>3244</v>
      </c>
      <c r="X49" s="2963" t="s">
        <v>3271</v>
      </c>
      <c r="Y49" s="2963" t="s">
        <v>3272</v>
      </c>
      <c r="Z49" s="2963" t="s">
        <v>3273</v>
      </c>
      <c r="AA49" s="2963" t="s">
        <v>3273</v>
      </c>
      <c r="AB49" s="2963" t="s">
        <v>3274</v>
      </c>
      <c r="AC49" s="2963" t="s">
        <v>3147</v>
      </c>
      <c r="AD49" s="2963" t="s">
        <v>3278</v>
      </c>
      <c r="AE49" s="2963">
        <v>112</v>
      </c>
      <c r="AF49" s="2963">
        <v>112</v>
      </c>
      <c r="AG49" s="2963">
        <v>112</v>
      </c>
      <c r="AH49" s="2963">
        <v>13.25</v>
      </c>
      <c r="AI49" s="2963">
        <v>13.25</v>
      </c>
      <c r="AJ49" s="2963">
        <v>283.88</v>
      </c>
      <c r="AK49" s="2963">
        <v>283.88</v>
      </c>
      <c r="AL49" s="2963" t="s">
        <v>1327</v>
      </c>
      <c r="AM49" s="2963" t="s">
        <v>1327</v>
      </c>
      <c r="AN49" s="2963">
        <v>0</v>
      </c>
      <c r="AO49" s="2963" t="s">
        <v>3149</v>
      </c>
      <c r="AP49" s="2963" t="s">
        <v>1327</v>
      </c>
      <c r="AQ49" s="2963" t="s">
        <v>1327</v>
      </c>
      <c r="AR49" s="2963" t="s">
        <v>1327</v>
      </c>
      <c r="AS49" s="2963" t="s">
        <v>3150</v>
      </c>
    </row>
    <row r="50" spans="1:45" s="2963" customFormat="1">
      <c r="A50" s="2963" t="s">
        <v>3270</v>
      </c>
      <c r="B50" s="2963" t="s">
        <v>3136</v>
      </c>
      <c r="C50" s="2963" t="s">
        <v>3137</v>
      </c>
      <c r="D50" s="2963" t="s">
        <v>3138</v>
      </c>
      <c r="E50" s="2963" t="s">
        <v>1327</v>
      </c>
      <c r="F50" s="2963" t="s">
        <v>3270</v>
      </c>
      <c r="G50" s="2963" t="s">
        <v>3139</v>
      </c>
      <c r="H50" s="2963">
        <v>2015038</v>
      </c>
      <c r="I50" s="2963" t="s">
        <v>3137</v>
      </c>
      <c r="J50" s="2963">
        <v>224</v>
      </c>
      <c r="K50" s="2963">
        <v>156.80000000000001</v>
      </c>
      <c r="L50" s="2963" t="s">
        <v>3172</v>
      </c>
      <c r="M50" s="2963" t="s">
        <v>1327</v>
      </c>
      <c r="N50" s="2963" t="s">
        <v>3221</v>
      </c>
      <c r="O50" s="2963" t="s">
        <v>1327</v>
      </c>
      <c r="P50" s="2963" t="s">
        <v>1327</v>
      </c>
      <c r="Q50" s="2963" t="s">
        <v>1327</v>
      </c>
      <c r="R50" s="2963" t="s">
        <v>1327</v>
      </c>
      <c r="S50" s="2963" t="s">
        <v>1327</v>
      </c>
      <c r="T50" s="2963" t="s">
        <v>1327</v>
      </c>
      <c r="U50" s="2963" t="s">
        <v>1327</v>
      </c>
      <c r="V50" s="2963" t="s">
        <v>1327</v>
      </c>
      <c r="W50" s="2963" t="s">
        <v>3244</v>
      </c>
      <c r="X50" s="2963" t="s">
        <v>3271</v>
      </c>
      <c r="Y50" s="2963" t="s">
        <v>3272</v>
      </c>
      <c r="Z50" s="2963" t="s">
        <v>3273</v>
      </c>
      <c r="AA50" s="2963" t="s">
        <v>3273</v>
      </c>
      <c r="AB50" s="2963" t="s">
        <v>3274</v>
      </c>
      <c r="AC50" s="2963" t="s">
        <v>3147</v>
      </c>
      <c r="AD50" s="2963" t="s">
        <v>3275</v>
      </c>
      <c r="AE50" s="2963">
        <v>4.0999999999999996</v>
      </c>
      <c r="AF50" s="2963">
        <v>4.09</v>
      </c>
      <c r="AG50" s="2963">
        <v>4.09</v>
      </c>
      <c r="AH50" s="2963">
        <v>12.17</v>
      </c>
      <c r="AI50" s="2963">
        <v>12.17</v>
      </c>
      <c r="AJ50" s="2963">
        <v>261.47000000000003</v>
      </c>
      <c r="AK50" s="2963">
        <v>261.48</v>
      </c>
      <c r="AL50" s="2963" t="s">
        <v>1327</v>
      </c>
      <c r="AM50" s="2963" t="s">
        <v>1327</v>
      </c>
      <c r="AN50" s="2963">
        <v>0</v>
      </c>
      <c r="AO50" s="2963" t="s">
        <v>3149</v>
      </c>
      <c r="AP50" s="2963" t="s">
        <v>1327</v>
      </c>
      <c r="AQ50" s="2963" t="s">
        <v>1327</v>
      </c>
      <c r="AR50" s="2963" t="s">
        <v>1327</v>
      </c>
      <c r="AS50" s="2963" t="s">
        <v>3150</v>
      </c>
    </row>
    <row r="51" spans="1:45" s="2963" customFormat="1">
      <c r="A51" s="2963" t="s">
        <v>3279</v>
      </c>
      <c r="B51" s="2963" t="s">
        <v>3136</v>
      </c>
      <c r="C51" s="2963" t="s">
        <v>3137</v>
      </c>
      <c r="D51" s="2963" t="s">
        <v>3138</v>
      </c>
      <c r="E51" s="2963" t="s">
        <v>1327</v>
      </c>
      <c r="F51" s="2963" t="s">
        <v>3279</v>
      </c>
      <c r="G51" s="2963" t="s">
        <v>3139</v>
      </c>
      <c r="H51" s="2963">
        <v>2015010</v>
      </c>
      <c r="I51" s="2963" t="s">
        <v>3152</v>
      </c>
      <c r="J51" s="2963">
        <v>23027</v>
      </c>
      <c r="K51" s="2963">
        <v>16118.9</v>
      </c>
      <c r="L51" s="2963" t="s">
        <v>3172</v>
      </c>
      <c r="M51" s="2963" t="s">
        <v>1327</v>
      </c>
      <c r="N51" s="2963" t="s">
        <v>3221</v>
      </c>
      <c r="O51" s="2963" t="s">
        <v>1327</v>
      </c>
      <c r="P51" s="2963" t="s">
        <v>1327</v>
      </c>
      <c r="Q51" s="2963" t="s">
        <v>1327</v>
      </c>
      <c r="R51" s="2963" t="s">
        <v>1327</v>
      </c>
      <c r="S51" s="2963" t="s">
        <v>1327</v>
      </c>
      <c r="T51" s="2963" t="s">
        <v>1327</v>
      </c>
      <c r="U51" s="2963" t="s">
        <v>1327</v>
      </c>
      <c r="V51" s="2963" t="s">
        <v>1327</v>
      </c>
      <c r="W51" s="2963" t="s">
        <v>3244</v>
      </c>
      <c r="X51" s="2963" t="s">
        <v>3280</v>
      </c>
      <c r="Y51" s="2963" t="s">
        <v>3281</v>
      </c>
      <c r="Z51" s="2963" t="s">
        <v>3282</v>
      </c>
      <c r="AA51" s="2963" t="s">
        <v>3282</v>
      </c>
      <c r="AB51" s="2963" t="s">
        <v>3283</v>
      </c>
      <c r="AC51" s="2963" t="s">
        <v>3147</v>
      </c>
      <c r="AD51" s="2963" t="s">
        <v>3284</v>
      </c>
      <c r="AE51" s="2963">
        <v>277</v>
      </c>
      <c r="AF51" s="2963">
        <v>277</v>
      </c>
      <c r="AG51" s="2963">
        <v>277</v>
      </c>
      <c r="AH51" s="2963">
        <v>8.02</v>
      </c>
      <c r="AI51" s="2963">
        <v>8.02</v>
      </c>
      <c r="AJ51" s="2963">
        <v>171.84</v>
      </c>
      <c r="AK51" s="2963">
        <v>171.84</v>
      </c>
      <c r="AL51" s="2963" t="s">
        <v>1327</v>
      </c>
      <c r="AM51" s="2963" t="s">
        <v>1327</v>
      </c>
      <c r="AN51" s="2963">
        <v>0</v>
      </c>
      <c r="AO51" s="2963" t="s">
        <v>3149</v>
      </c>
      <c r="AP51" s="2963" t="s">
        <v>1327</v>
      </c>
      <c r="AQ51" s="2963" t="s">
        <v>1327</v>
      </c>
      <c r="AR51" s="2963" t="s">
        <v>1327</v>
      </c>
      <c r="AS51" s="2963" t="s">
        <v>3150</v>
      </c>
    </row>
    <row r="52" spans="1:45" s="2963" customFormat="1">
      <c r="A52" s="2963" t="s">
        <v>3285</v>
      </c>
      <c r="B52" s="2963" t="s">
        <v>3136</v>
      </c>
      <c r="C52" s="2963" t="s">
        <v>3137</v>
      </c>
      <c r="D52" s="2963" t="s">
        <v>3138</v>
      </c>
      <c r="E52" s="2963" t="s">
        <v>1327</v>
      </c>
      <c r="F52" s="2963" t="s">
        <v>3285</v>
      </c>
      <c r="G52" s="2963" t="s">
        <v>3139</v>
      </c>
      <c r="H52" s="2963">
        <v>2015011</v>
      </c>
      <c r="I52" s="2963" t="s">
        <v>3137</v>
      </c>
      <c r="J52" s="2963">
        <v>18880</v>
      </c>
      <c r="K52" s="2963">
        <v>13216</v>
      </c>
      <c r="L52" s="2963" t="s">
        <v>3172</v>
      </c>
      <c r="M52" s="2963" t="s">
        <v>1327</v>
      </c>
      <c r="N52" s="2963" t="s">
        <v>3221</v>
      </c>
      <c r="O52" s="2963" t="s">
        <v>1327</v>
      </c>
      <c r="P52" s="2963" t="s">
        <v>1327</v>
      </c>
      <c r="Q52" s="2963" t="s">
        <v>1327</v>
      </c>
      <c r="R52" s="2963" t="s">
        <v>1327</v>
      </c>
      <c r="S52" s="2963" t="s">
        <v>1327</v>
      </c>
      <c r="T52" s="2963" t="s">
        <v>1327</v>
      </c>
      <c r="U52" s="2963" t="s">
        <v>1327</v>
      </c>
      <c r="V52" s="2963" t="s">
        <v>1327</v>
      </c>
      <c r="W52" s="2963" t="s">
        <v>3244</v>
      </c>
      <c r="X52" s="2963" t="s">
        <v>3280</v>
      </c>
      <c r="Y52" s="2963" t="s">
        <v>3281</v>
      </c>
      <c r="Z52" s="2963" t="s">
        <v>3282</v>
      </c>
      <c r="AA52" s="2963" t="s">
        <v>3282</v>
      </c>
      <c r="AB52" s="2963" t="s">
        <v>3283</v>
      </c>
      <c r="AC52" s="2963" t="s">
        <v>3147</v>
      </c>
      <c r="AD52" s="2963" t="s">
        <v>3286</v>
      </c>
      <c r="AE52" s="2963">
        <v>227</v>
      </c>
      <c r="AF52" s="2963">
        <v>227</v>
      </c>
      <c r="AG52" s="2963">
        <v>227</v>
      </c>
      <c r="AH52" s="2963">
        <v>8.02</v>
      </c>
      <c r="AI52" s="2963">
        <v>8.02</v>
      </c>
      <c r="AJ52" s="2963">
        <v>171.76</v>
      </c>
      <c r="AK52" s="2963">
        <v>171.75</v>
      </c>
      <c r="AL52" s="2963" t="s">
        <v>1327</v>
      </c>
      <c r="AM52" s="2963" t="s">
        <v>1327</v>
      </c>
      <c r="AN52" s="2963">
        <v>0</v>
      </c>
      <c r="AO52" s="2963" t="s">
        <v>3149</v>
      </c>
      <c r="AP52" s="2963" t="s">
        <v>1327</v>
      </c>
      <c r="AQ52" s="2963" t="s">
        <v>1327</v>
      </c>
      <c r="AR52" s="2963" t="s">
        <v>1327</v>
      </c>
      <c r="AS52" s="2963" t="s">
        <v>3150</v>
      </c>
    </row>
    <row r="53" spans="1:45" s="2963" customFormat="1">
      <c r="A53" s="2963" t="s">
        <v>3287</v>
      </c>
      <c r="B53" s="2963" t="s">
        <v>3136</v>
      </c>
      <c r="C53" s="2963" t="s">
        <v>3137</v>
      </c>
      <c r="D53" s="2963" t="s">
        <v>3138</v>
      </c>
      <c r="E53" s="2963" t="s">
        <v>1327</v>
      </c>
      <c r="F53" s="2963" t="s">
        <v>3287</v>
      </c>
      <c r="G53" s="2963" t="s">
        <v>3139</v>
      </c>
      <c r="H53" s="2963">
        <v>2015012</v>
      </c>
      <c r="I53" s="2963" t="s">
        <v>3137</v>
      </c>
      <c r="J53" s="2963">
        <v>25355</v>
      </c>
      <c r="K53" s="2963">
        <v>17748.5</v>
      </c>
      <c r="L53" s="2963" t="s">
        <v>3172</v>
      </c>
      <c r="M53" s="2963" t="s">
        <v>1327</v>
      </c>
      <c r="N53" s="2963" t="s">
        <v>3221</v>
      </c>
      <c r="O53" s="2963" t="s">
        <v>1327</v>
      </c>
      <c r="P53" s="2963" t="s">
        <v>1327</v>
      </c>
      <c r="Q53" s="2963" t="s">
        <v>1327</v>
      </c>
      <c r="R53" s="2963" t="s">
        <v>1327</v>
      </c>
      <c r="S53" s="2963" t="s">
        <v>1327</v>
      </c>
      <c r="T53" s="2963" t="s">
        <v>1327</v>
      </c>
      <c r="U53" s="2963" t="s">
        <v>1327</v>
      </c>
      <c r="V53" s="2963" t="s">
        <v>1327</v>
      </c>
      <c r="W53" s="2963" t="s">
        <v>3244</v>
      </c>
      <c r="X53" s="2963" t="s">
        <v>3280</v>
      </c>
      <c r="Y53" s="2963" t="s">
        <v>3281</v>
      </c>
      <c r="Z53" s="2963" t="s">
        <v>3282</v>
      </c>
      <c r="AA53" s="2963" t="s">
        <v>3282</v>
      </c>
      <c r="AB53" s="2963" t="s">
        <v>3283</v>
      </c>
      <c r="AC53" s="2963" t="s">
        <v>3147</v>
      </c>
      <c r="AD53" s="2963" t="s">
        <v>3286</v>
      </c>
      <c r="AE53" s="2963">
        <v>305</v>
      </c>
      <c r="AF53" s="2963">
        <v>305</v>
      </c>
      <c r="AG53" s="2963">
        <v>305</v>
      </c>
      <c r="AH53" s="2963">
        <v>8.02</v>
      </c>
      <c r="AI53" s="2963">
        <v>8.02</v>
      </c>
      <c r="AJ53" s="2963">
        <v>171.84</v>
      </c>
      <c r="AK53" s="2963">
        <v>171.84</v>
      </c>
      <c r="AL53" s="2963" t="s">
        <v>1327</v>
      </c>
      <c r="AM53" s="2963" t="s">
        <v>1327</v>
      </c>
      <c r="AN53" s="2963">
        <v>0</v>
      </c>
      <c r="AO53" s="2963" t="s">
        <v>3149</v>
      </c>
      <c r="AP53" s="2963" t="s">
        <v>1327</v>
      </c>
      <c r="AQ53" s="2963" t="s">
        <v>1327</v>
      </c>
      <c r="AR53" s="2963" t="s">
        <v>1327</v>
      </c>
      <c r="AS53" s="2963" t="s">
        <v>3150</v>
      </c>
    </row>
    <row r="54" spans="1:45" s="2963" customFormat="1">
      <c r="A54" s="2963" t="s">
        <v>3288</v>
      </c>
      <c r="B54" s="2963" t="s">
        <v>3136</v>
      </c>
      <c r="C54" s="2963" t="s">
        <v>3137</v>
      </c>
      <c r="D54" s="2963" t="s">
        <v>3138</v>
      </c>
      <c r="E54" s="2963" t="s">
        <v>1327</v>
      </c>
      <c r="F54" s="2963" t="s">
        <v>3288</v>
      </c>
      <c r="G54" s="2963" t="s">
        <v>3139</v>
      </c>
      <c r="H54" s="2963">
        <v>2015005</v>
      </c>
      <c r="I54" s="2963" t="s">
        <v>3137</v>
      </c>
      <c r="J54" s="2963">
        <v>13334</v>
      </c>
      <c r="K54" s="2963">
        <v>13334</v>
      </c>
      <c r="L54" s="2963" t="s">
        <v>3140</v>
      </c>
      <c r="M54" s="2963" t="s">
        <v>1327</v>
      </c>
      <c r="N54" s="2963" t="s">
        <v>3221</v>
      </c>
      <c r="O54" s="2963" t="s">
        <v>1327</v>
      </c>
      <c r="P54" s="2963" t="s">
        <v>1327</v>
      </c>
      <c r="Q54" s="2963" t="s">
        <v>1327</v>
      </c>
      <c r="R54" s="2963" t="s">
        <v>1327</v>
      </c>
      <c r="S54" s="2963" t="s">
        <v>1327</v>
      </c>
      <c r="T54" s="2963" t="s">
        <v>1327</v>
      </c>
      <c r="U54" s="2963" t="s">
        <v>1327</v>
      </c>
      <c r="V54" s="2963" t="s">
        <v>1327</v>
      </c>
      <c r="W54" s="2963" t="s">
        <v>3244</v>
      </c>
      <c r="X54" s="2963" t="s">
        <v>3289</v>
      </c>
      <c r="Y54" s="2963" t="s">
        <v>3290</v>
      </c>
      <c r="Z54" s="2963" t="s">
        <v>3291</v>
      </c>
      <c r="AA54" s="2963" t="s">
        <v>3291</v>
      </c>
      <c r="AB54" s="2963" t="s">
        <v>3292</v>
      </c>
      <c r="AC54" s="2963" t="s">
        <v>3147</v>
      </c>
      <c r="AD54" s="2963" t="s">
        <v>3293</v>
      </c>
      <c r="AE54" s="2963">
        <v>170</v>
      </c>
      <c r="AF54" s="2963">
        <v>170</v>
      </c>
      <c r="AG54" s="2963">
        <v>170</v>
      </c>
      <c r="AH54" s="2963">
        <v>8.5</v>
      </c>
      <c r="AI54" s="2963">
        <v>8.5</v>
      </c>
      <c r="AJ54" s="2963">
        <v>127.49</v>
      </c>
      <c r="AK54" s="2963">
        <v>127.48</v>
      </c>
      <c r="AL54" s="2963" t="s">
        <v>1327</v>
      </c>
      <c r="AM54" s="2963" t="s">
        <v>1327</v>
      </c>
      <c r="AN54" s="2963">
        <v>0</v>
      </c>
      <c r="AO54" s="2963" t="s">
        <v>3149</v>
      </c>
      <c r="AP54" s="2963" t="s">
        <v>1327</v>
      </c>
      <c r="AQ54" s="2963" t="s">
        <v>1327</v>
      </c>
      <c r="AR54" s="2963" t="s">
        <v>1327</v>
      </c>
      <c r="AS54" s="2963" t="s">
        <v>3150</v>
      </c>
    </row>
    <row r="55" spans="1:45" s="2963" customFormat="1">
      <c r="A55" s="2963" t="s">
        <v>3294</v>
      </c>
      <c r="B55" s="2963" t="s">
        <v>3136</v>
      </c>
      <c r="C55" s="2963" t="s">
        <v>3137</v>
      </c>
      <c r="D55" s="2963" t="s">
        <v>3138</v>
      </c>
      <c r="E55" s="2963" t="s">
        <v>1327</v>
      </c>
      <c r="F55" s="2963" t="s">
        <v>3294</v>
      </c>
      <c r="G55" s="2963" t="s">
        <v>3139</v>
      </c>
      <c r="H55" s="2963">
        <v>2015007</v>
      </c>
      <c r="I55" s="2963" t="s">
        <v>3137</v>
      </c>
      <c r="J55" s="2963">
        <v>8983</v>
      </c>
      <c r="K55" s="2963">
        <v>6288.1</v>
      </c>
      <c r="L55" s="2963" t="s">
        <v>3172</v>
      </c>
      <c r="M55" s="2963" t="s">
        <v>1327</v>
      </c>
      <c r="N55" s="2963" t="s">
        <v>3221</v>
      </c>
      <c r="O55" s="2963" t="s">
        <v>1327</v>
      </c>
      <c r="P55" s="2963" t="s">
        <v>1327</v>
      </c>
      <c r="Q55" s="2963" t="s">
        <v>1327</v>
      </c>
      <c r="R55" s="2963" t="s">
        <v>1327</v>
      </c>
      <c r="S55" s="2963" t="s">
        <v>1327</v>
      </c>
      <c r="T55" s="2963" t="s">
        <v>1327</v>
      </c>
      <c r="U55" s="2963" t="s">
        <v>1327</v>
      </c>
      <c r="V55" s="2963" t="s">
        <v>1327</v>
      </c>
      <c r="W55" s="2963" t="s">
        <v>3244</v>
      </c>
      <c r="X55" s="2963" t="s">
        <v>3295</v>
      </c>
      <c r="Y55" s="2963" t="s">
        <v>3296</v>
      </c>
      <c r="Z55" s="2963" t="s">
        <v>3297</v>
      </c>
      <c r="AA55" s="2963" t="s">
        <v>3297</v>
      </c>
      <c r="AB55" s="2963" t="s">
        <v>3298</v>
      </c>
      <c r="AC55" s="2963" t="s">
        <v>3147</v>
      </c>
      <c r="AD55" s="2963" t="s">
        <v>3299</v>
      </c>
      <c r="AE55" s="2963">
        <v>162</v>
      </c>
      <c r="AF55" s="2963">
        <v>162</v>
      </c>
      <c r="AG55" s="2963">
        <v>162</v>
      </c>
      <c r="AH55" s="2963">
        <v>12.02</v>
      </c>
      <c r="AI55" s="2963">
        <v>12.02</v>
      </c>
      <c r="AJ55" s="2963">
        <v>257.62</v>
      </c>
      <c r="AK55" s="2963">
        <v>257.62</v>
      </c>
      <c r="AL55" s="2963" t="s">
        <v>1327</v>
      </c>
      <c r="AM55" s="2963" t="s">
        <v>1327</v>
      </c>
      <c r="AN55" s="2963">
        <v>0</v>
      </c>
      <c r="AO55" s="2963" t="s">
        <v>3149</v>
      </c>
      <c r="AP55" s="2963" t="s">
        <v>1327</v>
      </c>
      <c r="AQ55" s="2963" t="s">
        <v>1327</v>
      </c>
      <c r="AR55" s="2963" t="s">
        <v>1327</v>
      </c>
      <c r="AS55" s="2963" t="s">
        <v>3150</v>
      </c>
    </row>
    <row r="56" spans="1:45" s="2963" customFormat="1">
      <c r="A56" s="2963" t="s">
        <v>3294</v>
      </c>
      <c r="B56" s="2963" t="s">
        <v>3136</v>
      </c>
      <c r="C56" s="2963" t="s">
        <v>3137</v>
      </c>
      <c r="D56" s="2963" t="s">
        <v>3138</v>
      </c>
      <c r="E56" s="2963" t="s">
        <v>1327</v>
      </c>
      <c r="F56" s="2963" t="s">
        <v>3294</v>
      </c>
      <c r="G56" s="2963" t="s">
        <v>3139</v>
      </c>
      <c r="H56" s="2963">
        <v>2015006</v>
      </c>
      <c r="I56" s="2963" t="s">
        <v>3137</v>
      </c>
      <c r="J56" s="2963">
        <v>17036</v>
      </c>
      <c r="K56" s="2963">
        <v>11925.2</v>
      </c>
      <c r="L56" s="2963" t="s">
        <v>3172</v>
      </c>
      <c r="M56" s="2963" t="s">
        <v>1327</v>
      </c>
      <c r="N56" s="2963" t="s">
        <v>3221</v>
      </c>
      <c r="O56" s="2963" t="s">
        <v>1327</v>
      </c>
      <c r="P56" s="2963" t="s">
        <v>1327</v>
      </c>
      <c r="Q56" s="2963" t="s">
        <v>1327</v>
      </c>
      <c r="R56" s="2963" t="s">
        <v>1327</v>
      </c>
      <c r="S56" s="2963" t="s">
        <v>1327</v>
      </c>
      <c r="T56" s="2963" t="s">
        <v>1327</v>
      </c>
      <c r="U56" s="2963" t="s">
        <v>1327</v>
      </c>
      <c r="V56" s="2963" t="s">
        <v>1327</v>
      </c>
      <c r="W56" s="2963" t="s">
        <v>3244</v>
      </c>
      <c r="X56" s="2963" t="s">
        <v>3295</v>
      </c>
      <c r="Y56" s="2963" t="s">
        <v>3296</v>
      </c>
      <c r="Z56" s="2963" t="s">
        <v>3297</v>
      </c>
      <c r="AA56" s="2963" t="s">
        <v>3297</v>
      </c>
      <c r="AB56" s="2963" t="s">
        <v>3298</v>
      </c>
      <c r="AC56" s="2963" t="s">
        <v>3147</v>
      </c>
      <c r="AD56" s="2963" t="s">
        <v>3299</v>
      </c>
      <c r="AE56" s="2963">
        <v>307</v>
      </c>
      <c r="AF56" s="2963">
        <v>307</v>
      </c>
      <c r="AG56" s="2963">
        <v>307</v>
      </c>
      <c r="AH56" s="2963">
        <v>12.01</v>
      </c>
      <c r="AI56" s="2963">
        <v>12.01</v>
      </c>
      <c r="AJ56" s="2963">
        <v>257.43</v>
      </c>
      <c r="AK56" s="2963">
        <v>257.43</v>
      </c>
      <c r="AL56" s="2963" t="s">
        <v>1327</v>
      </c>
      <c r="AM56" s="2963" t="s">
        <v>1327</v>
      </c>
      <c r="AN56" s="2963">
        <v>0</v>
      </c>
      <c r="AO56" s="2963" t="s">
        <v>3149</v>
      </c>
      <c r="AP56" s="2963" t="s">
        <v>1327</v>
      </c>
      <c r="AQ56" s="2963" t="s">
        <v>1327</v>
      </c>
      <c r="AR56" s="2963" t="s">
        <v>1327</v>
      </c>
      <c r="AS56" s="2963" t="s">
        <v>3150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1637</v>
      </c>
      <c r="B2" s="2992" t="s">
        <v>1638</v>
      </c>
      <c r="C2" s="2992" t="s">
        <v>1639</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6" t="s">
        <v>1634</v>
      </c>
      <c r="E3" s="1046" t="s">
        <v>1640</v>
      </c>
      <c r="F3" s="1046" t="s">
        <v>1634</v>
      </c>
      <c r="G3" s="1046" t="s">
        <v>1635</v>
      </c>
      <c r="H3" s="1046" t="s">
        <v>1634</v>
      </c>
      <c r="I3" s="1046" t="s">
        <v>1635</v>
      </c>
    </row>
    <row r="4" spans="1:9" ht="30">
      <c r="A4" s="1975" t="str">
        <f>项目基本情况!S2</f>
        <v>河北省保定市定兴县新107国道东侧房地产</v>
      </c>
      <c r="B4" s="1046">
        <f>项目基本情况!C17</f>
        <v>17987.810000000001</v>
      </c>
      <c r="C4" s="1046">
        <f>项目基本情况!C18</f>
        <v>25697.15</v>
      </c>
      <c r="D4" s="1046">
        <f ca="1">结果表!D118</f>
        <v>1371</v>
      </c>
      <c r="E4" s="1046">
        <f ca="1">结果表!E118</f>
        <v>762</v>
      </c>
      <c r="F4" s="1046">
        <f ca="1">结果表!F118</f>
        <v>3965</v>
      </c>
      <c r="G4" s="1046">
        <f ca="1">结果表!G118</f>
        <v>2204</v>
      </c>
      <c r="H4" s="1046">
        <f ca="1">结果表!H118</f>
        <v>5336</v>
      </c>
      <c r="I4" s="1046">
        <f ca="1">结果表!I118</f>
        <v>2966</v>
      </c>
    </row>
    <row r="5" spans="1:9" ht="30" customHeight="1">
      <c r="A5" s="2986" t="s">
        <v>1636</v>
      </c>
      <c r="B5" s="2986"/>
      <c r="C5" s="2986"/>
      <c r="D5" s="2987" t="str">
        <f ca="1">结果表!D119</f>
        <v>壹仟叁佰柒拾壹万元整</v>
      </c>
      <c r="E5" s="2987"/>
      <c r="F5" s="2987" t="str">
        <f ca="1">结果表!F119</f>
        <v>叁仟玖佰陆拾伍万元整</v>
      </c>
      <c r="G5" s="2987"/>
      <c r="H5" s="2987" t="str">
        <f ca="1">结果表!H119</f>
        <v>伍仟叁佰叁拾陆万元整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1636</v>
      </c>
      <c r="B7" s="2986"/>
      <c r="C7" s="2986"/>
      <c r="D7" s="2988" t="str">
        <f>结果表!D121</f>
        <v>零元整</v>
      </c>
      <c r="E7" s="2989"/>
      <c r="F7" s="2989"/>
      <c r="G7" s="2989"/>
      <c r="H7" s="2989"/>
      <c r="I7" s="2990"/>
    </row>
    <row r="8" spans="1:9" ht="15.75">
      <c r="A8" s="2985" t="str">
        <f>结果表!A122</f>
        <v>房地产抵押价值</v>
      </c>
      <c r="B8" s="2985"/>
      <c r="C8" s="2985"/>
      <c r="D8" s="2985">
        <f ca="1">结果表!D122</f>
        <v>5336</v>
      </c>
      <c r="E8" s="2985"/>
      <c r="F8" s="2985"/>
      <c r="G8" s="2985"/>
      <c r="H8" s="2985"/>
      <c r="I8" s="2985"/>
    </row>
    <row r="9" spans="1:9" ht="15">
      <c r="A9" s="2986" t="s">
        <v>1636</v>
      </c>
      <c r="B9" s="2986"/>
      <c r="C9" s="2986"/>
      <c r="D9" s="2987" t="str">
        <f ca="1">结果表!D123</f>
        <v>伍仟叁佰叁拾陆万元整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1636</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1636</v>
      </c>
      <c r="B13" s="2982"/>
      <c r="C13" s="2982"/>
      <c r="D13" s="2983" t="e">
        <f>结果表!D127</f>
        <v>#VALUE!</v>
      </c>
      <c r="E13" s="2983"/>
      <c r="F13" s="2983"/>
      <c r="G13" s="2983"/>
      <c r="H13" s="2983"/>
      <c r="I13" s="2983"/>
    </row>
    <row r="14" spans="1:9" ht="15" thickTop="1">
      <c r="A14" s="2984" t="s">
        <v>1641</v>
      </c>
      <c r="B14" s="2984"/>
      <c r="C14" s="2984"/>
      <c r="D14" s="2984"/>
      <c r="E14" s="2984"/>
      <c r="F14" s="2984"/>
      <c r="G14" s="2984"/>
      <c r="H14" s="2984"/>
      <c r="I14" s="2984"/>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99" t="s">
        <v>1658</v>
      </c>
      <c r="B1" s="2999"/>
      <c r="C1" s="2999"/>
      <c r="D1" s="2999"/>
    </row>
    <row r="2" spans="1:4" ht="18">
      <c r="A2" s="3000" t="s">
        <v>1642</v>
      </c>
      <c r="B2" s="3000"/>
      <c r="C2" s="3000"/>
      <c r="D2" s="3000"/>
    </row>
    <row r="3" spans="1:4" ht="18.75">
      <c r="A3" s="1979" t="s">
        <v>1643</v>
      </c>
      <c r="B3" s="1979" t="s">
        <v>1644</v>
      </c>
      <c r="C3" s="1979" t="s">
        <v>1645</v>
      </c>
      <c r="D3" s="1979" t="s">
        <v>1646</v>
      </c>
    </row>
    <row r="4" spans="1:4" ht="56.25" customHeight="1">
      <c r="A4" s="1980" t="str">
        <f>项目基本情况!B4</f>
        <v>郑燚</v>
      </c>
      <c r="B4" s="1981">
        <f ca="1">项目基本情况!C4</f>
        <v>1120070131</v>
      </c>
      <c r="C4" s="1982"/>
      <c r="D4" s="1983" t="s">
        <v>1647</v>
      </c>
    </row>
    <row r="5" spans="1:4" ht="56.25" customHeight="1">
      <c r="A5" s="1980" t="str">
        <f>项目基本情况!D4</f>
        <v>崔锴</v>
      </c>
      <c r="B5" s="1981">
        <f ca="1">项目基本情况!E4</f>
        <v>1120100036</v>
      </c>
      <c r="C5" s="1984"/>
      <c r="D5" s="1983" t="s">
        <v>1647</v>
      </c>
    </row>
    <row r="6" spans="1:4" ht="18">
      <c r="A6" s="3000" t="s">
        <v>1648</v>
      </c>
      <c r="B6" s="3000"/>
      <c r="C6" s="3000"/>
      <c r="D6" s="3000"/>
    </row>
    <row r="7" spans="1:4" ht="18.75">
      <c r="A7" s="1979" t="s">
        <v>1643</v>
      </c>
      <c r="B7" s="1981" t="s">
        <v>1649</v>
      </c>
      <c r="C7" s="1979" t="s">
        <v>1645</v>
      </c>
      <c r="D7" s="1979" t="s">
        <v>1646</v>
      </c>
    </row>
    <row r="8" spans="1:4" ht="56.25" customHeight="1">
      <c r="A8" s="1985" t="s">
        <v>866</v>
      </c>
      <c r="B8" s="1985" t="s">
        <v>1</v>
      </c>
      <c r="C8" s="1982"/>
      <c r="D8" s="1983" t="s">
        <v>1647</v>
      </c>
    </row>
    <row r="9" spans="1:4">
      <c r="A9" s="727"/>
      <c r="B9" s="727"/>
      <c r="C9" s="727"/>
      <c r="D9" s="727"/>
    </row>
    <row r="10" spans="1:4" ht="18.75">
      <c r="A10" s="1986" t="s">
        <v>1650</v>
      </c>
      <c r="B10" s="727"/>
      <c r="C10" s="727"/>
      <c r="D10" s="727"/>
    </row>
    <row r="11" spans="1:4" ht="30" customHeight="1">
      <c r="A11" s="3001" t="s">
        <v>1651</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（1）根据估价对象《不动产权证书》复印件、，截至价值时点，估价对象抵押权未见登记。</v>
      </c>
      <c r="B15" s="2993"/>
      <c r="C15" s="2993"/>
      <c r="D15" s="2993"/>
    </row>
    <row r="16" spans="1:4" ht="30" customHeight="1">
      <c r="A16" s="2995" t="s">
        <v>1652</v>
      </c>
      <c r="B16" s="2995"/>
      <c r="C16" s="2995"/>
      <c r="D16" s="2995"/>
    </row>
    <row r="17" spans="1:4" ht="144" customHeight="1">
      <c r="A17" s="2995" t="s">
        <v>1653</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1654</v>
      </c>
      <c r="B22" s="2997"/>
      <c r="C22" s="2997"/>
      <c r="D22" s="2997"/>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07" t="s">
        <v>1665</v>
      </c>
      <c r="B15" s="3002" t="s">
        <v>136</v>
      </c>
      <c r="C15" s="3003"/>
    </row>
    <row r="16" spans="1:7" ht="13.5">
      <c r="A16" s="3008"/>
      <c r="B16" s="3002" t="s">
        <v>69</v>
      </c>
      <c r="C16" s="3003"/>
    </row>
    <row r="17" spans="1:3" ht="13.5">
      <c r="A17" s="3008"/>
      <c r="B17" s="3005" t="s">
        <v>1666</v>
      </c>
      <c r="C17" s="2002" t="s">
        <v>1665</v>
      </c>
    </row>
    <row r="18" spans="1:3" ht="13.5">
      <c r="A18" s="3008"/>
      <c r="B18" s="3005"/>
      <c r="C18" s="2002" t="s">
        <v>1667</v>
      </c>
    </row>
    <row r="19" spans="1:3" ht="13.5">
      <c r="A19" s="3008"/>
      <c r="B19" s="3005"/>
      <c r="C19" s="2002" t="s">
        <v>1668</v>
      </c>
    </row>
    <row r="20" spans="1:3" ht="13.5">
      <c r="A20" s="3009"/>
      <c r="B20" s="3004" t="s">
        <v>1669</v>
      </c>
      <c r="C20" s="3003"/>
    </row>
    <row r="21" spans="1:3" ht="13.5">
      <c r="A21" s="2003" t="s">
        <v>1670</v>
      </c>
      <c r="B21" s="2004"/>
      <c r="C21" s="2005"/>
    </row>
    <row r="22" spans="1:3" ht="13.5">
      <c r="A22" s="3006" t="s">
        <v>1671</v>
      </c>
      <c r="B22" s="3004" t="s">
        <v>1672</v>
      </c>
      <c r="C22" s="3003"/>
    </row>
    <row r="23" spans="1:3" ht="13.5">
      <c r="A23" s="3006"/>
      <c r="B23" s="3004" t="s">
        <v>1673</v>
      </c>
      <c r="C23" s="3003"/>
    </row>
    <row r="24" spans="1:3" ht="13.5">
      <c r="A24" s="3006"/>
      <c r="B24" s="3004" t="s">
        <v>1674</v>
      </c>
      <c r="C24" s="3003"/>
    </row>
    <row r="25" spans="1:3" ht="13.5">
      <c r="A25" s="3006"/>
      <c r="B25" s="3005" t="s">
        <v>1675</v>
      </c>
      <c r="C25" s="2002" t="s">
        <v>1676</v>
      </c>
    </row>
    <row r="26" spans="1:3" ht="13.5">
      <c r="A26" s="3006"/>
      <c r="B26" s="3005"/>
      <c r="C26" s="2002" t="s">
        <v>1677</v>
      </c>
    </row>
    <row r="27" spans="1:3" ht="13.5">
      <c r="A27" s="3006"/>
      <c r="B27" s="3005"/>
      <c r="C27" s="2002" t="s">
        <v>1678</v>
      </c>
    </row>
    <row r="28" spans="1:3" ht="13.5">
      <c r="A28" s="3006"/>
      <c r="B28" s="3005"/>
      <c r="C28" s="2002" t="s">
        <v>1679</v>
      </c>
    </row>
    <row r="29" spans="1:3" ht="13.5">
      <c r="A29" s="3006"/>
      <c r="B29" s="3005"/>
      <c r="C29" s="2002" t="s">
        <v>1680</v>
      </c>
    </row>
    <row r="30" spans="1:3" ht="13.5">
      <c r="A30" s="3006"/>
      <c r="B30" s="3005"/>
      <c r="C30" s="2002" t="s">
        <v>1681</v>
      </c>
    </row>
    <row r="31" spans="1:3" ht="13.5">
      <c r="A31" s="3006"/>
      <c r="B31" s="3005"/>
      <c r="C31" s="2002" t="s">
        <v>1682</v>
      </c>
    </row>
    <row r="32" spans="1:3" ht="13.5">
      <c r="A32" s="3006"/>
      <c r="B32" s="3005"/>
      <c r="C32" s="2002" t="s">
        <v>1683</v>
      </c>
    </row>
    <row r="33" spans="1:3" ht="13.5">
      <c r="A33" s="3006"/>
      <c r="B33" s="3005"/>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43494</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44395</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t="str">
        <f ca="1">IF(C10&lt;B2,"已过期",1120060040)</f>
        <v>已过期</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c r="B12" s="1024"/>
      <c r="C12" s="2941"/>
      <c r="D12" s="1704"/>
      <c r="E12" s="1024"/>
      <c r="F12" s="1032"/>
    </row>
    <row r="13" spans="1:6" ht="24" customHeight="1">
      <c r="A13" s="1704" t="s">
        <v>840</v>
      </c>
      <c r="B13" s="1024">
        <f ca="1">IF(C13&lt;B2,"已过期",1120070131)</f>
        <v>1120070131</v>
      </c>
      <c r="C13" s="2348">
        <v>43814</v>
      </c>
      <c r="D13" s="2351" t="s">
        <v>840</v>
      </c>
      <c r="E13" s="1024">
        <f ca="1">IF(F13&lt;B2,"已过期",2014110011)</f>
        <v>2014110011</v>
      </c>
      <c r="F13" s="1032">
        <v>49302</v>
      </c>
    </row>
    <row r="14" spans="1:6" ht="24" customHeight="1">
      <c r="A14" s="1704" t="s">
        <v>3040</v>
      </c>
      <c r="B14" s="1024">
        <f ca="1">IF(C14&lt;B2,"已过期",1120040230)</f>
        <v>1120040230</v>
      </c>
      <c r="C14" s="2348">
        <v>43835</v>
      </c>
      <c r="D14" s="2351" t="s">
        <v>3040</v>
      </c>
      <c r="E14" s="1024">
        <f ca="1">IF(F14&lt;B2,"已过期",98030020)</f>
        <v>98030020</v>
      </c>
      <c r="F14" s="1032">
        <v>47118</v>
      </c>
    </row>
    <row r="15" spans="1:6" ht="24" customHeight="1">
      <c r="A15" s="1705" t="s">
        <v>3041</v>
      </c>
      <c r="B15" s="1024">
        <f ca="1">IF(C15&lt;B2,"已过期",1120070085)</f>
        <v>1120070085</v>
      </c>
      <c r="C15" s="2348">
        <v>43814</v>
      </c>
      <c r="D15" s="2352" t="s">
        <v>3041</v>
      </c>
      <c r="E15" s="1024">
        <f ca="1">IF(F15&lt;B2,"已过期",2004110128)</f>
        <v>2004110128</v>
      </c>
      <c r="F15" s="1025">
        <v>47118</v>
      </c>
    </row>
    <row r="16" spans="1:6" ht="24" customHeight="1">
      <c r="A16" s="1704" t="s">
        <v>3042</v>
      </c>
      <c r="B16" s="1024">
        <f ca="1">IF(C16&lt;B2,"已过期",1120140022)</f>
        <v>1120140022</v>
      </c>
      <c r="C16" s="2941">
        <v>44029</v>
      </c>
      <c r="D16" s="2351" t="s">
        <v>3042</v>
      </c>
      <c r="E16" s="1024">
        <f ca="1">IF(F16&lt;B2,"已过期",2008110059)</f>
        <v>2008110059</v>
      </c>
      <c r="F16" s="1032">
        <v>47177</v>
      </c>
    </row>
    <row r="17" spans="1:7" ht="24" customHeight="1">
      <c r="A17" s="1704"/>
      <c r="B17" s="1024"/>
      <c r="C17" s="2348"/>
      <c r="D17" s="2351" t="s">
        <v>3043</v>
      </c>
      <c r="E17" s="1024">
        <f ca="1">IF(F17&lt;B2,"已过期",2014110076)</f>
        <v>2014110076</v>
      </c>
      <c r="F17" s="1032">
        <v>49302</v>
      </c>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841</v>
      </c>
      <c r="E21" s="1024">
        <f ca="1">IF(F21&lt;B2,"已过期",2011110090)</f>
        <v>2011110090</v>
      </c>
      <c r="F21" s="1032">
        <v>48302</v>
      </c>
    </row>
    <row r="22" spans="1:7" ht="24" customHeight="1">
      <c r="A22" s="1704" t="s">
        <v>842</v>
      </c>
      <c r="B22" s="1024">
        <f ca="1">IF(C22&lt;B2,"已过期",1120020033)</f>
        <v>1120020033</v>
      </c>
      <c r="C22" s="2941">
        <v>44339</v>
      </c>
      <c r="D22" s="2351" t="s">
        <v>842</v>
      </c>
      <c r="E22" s="1024">
        <f ca="1">IF(F22&lt;B2,"已过期",2000110137)</f>
        <v>2000110137</v>
      </c>
      <c r="F22" s="1032">
        <v>46387</v>
      </c>
    </row>
    <row r="23" spans="1:7" ht="24" customHeight="1">
      <c r="A23" s="1704"/>
      <c r="B23" s="1024"/>
      <c r="C23" s="2348"/>
      <c r="D23" s="2351"/>
      <c r="E23" s="1024"/>
      <c r="F23" s="1024"/>
    </row>
    <row r="24" spans="1:7" s="1026" customFormat="1" ht="24" customHeight="1">
      <c r="A24" s="1705" t="s">
        <v>1329</v>
      </c>
      <c r="B24" s="1705" t="s">
        <v>1329</v>
      </c>
      <c r="C24" s="2349" t="s">
        <v>1329</v>
      </c>
      <c r="D24" s="2352" t="s">
        <v>1329</v>
      </c>
      <c r="E24" s="1705" t="s">
        <v>1329</v>
      </c>
      <c r="F24" s="1705" t="s">
        <v>1329</v>
      </c>
    </row>
    <row r="25" spans="1:7" ht="24" customHeight="1">
      <c r="A25" s="3010" t="s">
        <v>843</v>
      </c>
      <c r="B25" s="3010"/>
      <c r="C25" s="3010"/>
      <c r="D25" s="3010"/>
      <c r="E25" s="3010"/>
      <c r="F25" s="3010"/>
      <c r="G25" s="3010"/>
    </row>
    <row r="26" spans="1:7" s="1027" customFormat="1" ht="24" customHeight="1">
      <c r="A26" s="3011" t="s">
        <v>844</v>
      </c>
      <c r="B26" s="3011"/>
      <c r="C26" s="3012"/>
      <c r="D26" s="3013" t="s">
        <v>845</v>
      </c>
      <c r="E26" s="3011"/>
      <c r="F26" s="3011"/>
    </row>
    <row r="27" spans="1:7" s="1029" customFormat="1" ht="24" customHeight="1">
      <c r="A27" s="1028" t="s">
        <v>846</v>
      </c>
      <c r="B27" s="1023" t="s">
        <v>847</v>
      </c>
      <c r="C27" s="2347" t="s">
        <v>848</v>
      </c>
      <c r="D27" s="2355" t="s">
        <v>846</v>
      </c>
      <c r="E27" s="1023" t="s">
        <v>847</v>
      </c>
      <c r="F27" s="1023" t="s">
        <v>848</v>
      </c>
    </row>
    <row r="28" spans="1:7" s="1029" customFormat="1" ht="24" customHeight="1">
      <c r="A28" s="1030" t="s">
        <v>849</v>
      </c>
      <c r="B28" s="1031" t="s">
        <v>850</v>
      </c>
      <c r="C28" s="2353">
        <v>43725</v>
      </c>
      <c r="D28" s="2356" t="s">
        <v>851</v>
      </c>
      <c r="E28" s="1030" t="s">
        <v>852</v>
      </c>
      <c r="F28" s="1060">
        <v>44377</v>
      </c>
    </row>
    <row r="29" spans="1:7" s="1029" customFormat="1" ht="24" customHeight="1">
      <c r="A29" s="1030"/>
      <c r="B29" s="1030"/>
      <c r="C29" s="2354"/>
      <c r="D29" s="2356"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2019-01-29T07:38:46Z</dcterms:modified>
</cp:coreProperties>
</file>