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净值计算"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土地案例" sheetId="68" r:id="rId42"/>
    <sheet name="案例" sheetId="69" r:id="rId43"/>
    <sheet name="结果汇总" sheetId="70"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5" i="66" l="1"/>
  <c r="C15" i="66"/>
  <c r="B15" i="66"/>
  <c r="H16" i="66"/>
  <c r="C16" i="66"/>
  <c r="B16" i="66"/>
  <c r="AM7" i="1"/>
  <c r="D16" i="66" l="1"/>
  <c r="G16" i="66" l="1"/>
  <c r="D15" i="66" l="1"/>
  <c r="G15" i="66" l="1"/>
  <c r="D92" i="35" l="1"/>
  <c r="E92" i="35" s="1"/>
  <c r="F92" i="35" s="1"/>
  <c r="G92" i="35" s="1"/>
  <c r="E16" i="70" l="1"/>
  <c r="E15" i="70"/>
  <c r="C25" i="72" l="1"/>
  <c r="D4" i="72"/>
  <c r="C26" i="72"/>
  <c r="C24" i="72" s="1"/>
  <c r="C29" i="72" l="1"/>
  <c r="F9" i="70" l="1"/>
  <c r="D9" i="70"/>
  <c r="C12" i="70"/>
  <c r="C11" i="70"/>
  <c r="C9" i="70"/>
  <c r="B35" i="1" l="1"/>
  <c r="K30" i="35"/>
  <c r="K29" i="35"/>
  <c r="K28" i="35"/>
  <c r="K10" i="35"/>
  <c r="K23" i="21"/>
  <c r="K20" i="35" s="1"/>
  <c r="K21" i="21"/>
  <c r="K18" i="35" s="1"/>
  <c r="K19" i="21"/>
  <c r="K16" i="35" s="1"/>
  <c r="K17" i="21"/>
  <c r="K14" i="35" s="1"/>
  <c r="K15" i="21"/>
  <c r="E33" i="21"/>
  <c r="D104" i="21"/>
  <c r="E104" i="21" s="1"/>
  <c r="F104" i="21" s="1"/>
  <c r="G104" i="21" s="1"/>
  <c r="H104" i="21" s="1"/>
  <c r="I104" i="21" s="1"/>
  <c r="I37" i="35"/>
  <c r="G37" i="35"/>
  <c r="E37" i="35"/>
  <c r="E73" i="39"/>
  <c r="F73" i="39" s="1"/>
  <c r="G73" i="39" s="1"/>
  <c r="H73" i="39" s="1"/>
  <c r="I73" i="39" s="1"/>
  <c r="J73" i="39" s="1"/>
  <c r="K73" i="39" s="1"/>
  <c r="L73" i="39" s="1"/>
  <c r="M73" i="39" s="1"/>
  <c r="N73" i="39" s="1"/>
  <c r="D73" i="39"/>
  <c r="N14" i="1"/>
  <c r="N8" i="1"/>
  <c r="N7" i="1"/>
  <c r="L14" i="1"/>
  <c r="L7" i="1"/>
  <c r="L8" i="1" s="1"/>
  <c r="AH23" i="1"/>
  <c r="AH24" i="1" s="1"/>
  <c r="AH22" i="1"/>
  <c r="AD13" i="3"/>
  <c r="G17" i="4"/>
  <c r="H17" i="4" s="1"/>
  <c r="I17" i="4" s="1"/>
  <c r="B7" i="4"/>
  <c r="D3" i="4"/>
  <c r="D120" i="39"/>
  <c r="E120" i="39" s="1"/>
  <c r="F120" i="39" s="1"/>
  <c r="G120" i="39" s="1"/>
  <c r="H120" i="39" s="1"/>
  <c r="I120" i="39" s="1"/>
  <c r="J120" i="39" s="1"/>
  <c r="I48" i="39"/>
  <c r="G48" i="39"/>
  <c r="E48" i="39"/>
  <c r="I40" i="39"/>
  <c r="G40" i="39"/>
  <c r="E40" i="39"/>
  <c r="I13" i="39"/>
  <c r="G13" i="39"/>
  <c r="E13" i="39"/>
  <c r="I9" i="39"/>
  <c r="G9" i="39"/>
  <c r="E9" i="39"/>
  <c r="I7" i="39"/>
  <c r="G7" i="39"/>
  <c r="E7" i="39"/>
  <c r="AH25" i="1" l="1"/>
  <c r="AH8" i="1" s="1"/>
  <c r="C31" i="35" s="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c r="AD9" i="59"/>
  <c r="AE10" i="59"/>
  <c r="AF10" i="59" s="1"/>
  <c r="AG10" i="59"/>
  <c r="AH10" i="59"/>
  <c r="AD10" i="59"/>
  <c r="Q10" i="59"/>
  <c r="P10" i="59"/>
  <c r="O10" i="59"/>
  <c r="N10" i="59"/>
  <c r="N11" i="59"/>
  <c r="Q11" i="59"/>
  <c r="P11" i="59"/>
  <c r="O11" i="59"/>
  <c r="K59" i="15"/>
  <c r="P62" i="15" s="1"/>
  <c r="Q74" i="44"/>
  <c r="Q61" i="44"/>
  <c r="Q60" i="44"/>
  <c r="Q53" i="44"/>
  <c r="J51" i="44"/>
  <c r="J52" i="44" s="1"/>
  <c r="M48" i="44"/>
  <c r="A16" i="55"/>
  <c r="A15" i="55"/>
  <c r="B66" i="63" s="1"/>
  <c r="A10" i="55"/>
  <c r="A9" i="55"/>
  <c r="A8" i="55"/>
  <c r="A6" i="54"/>
  <c r="A8" i="54"/>
  <c r="A7" i="54"/>
  <c r="B51" i="63" s="1"/>
  <c r="A27" i="51"/>
  <c r="Q12" i="59"/>
  <c r="O12" i="59"/>
  <c r="N13" i="59"/>
  <c r="O13" i="59"/>
  <c r="P13" i="59"/>
  <c r="Q13" i="59"/>
  <c r="N12" i="59"/>
  <c r="P12" i="59"/>
  <c r="K75" i="9"/>
  <c r="K6" i="4"/>
  <c r="O76" i="9" s="1"/>
  <c r="B22" i="31"/>
  <c r="E17" i="66"/>
  <c r="F17" i="66"/>
  <c r="E18" i="66"/>
  <c r="F18" i="66"/>
  <c r="E19" i="66"/>
  <c r="F19" i="66"/>
  <c r="E20" i="66"/>
  <c r="F20" i="66"/>
  <c r="E21" i="66"/>
  <c r="F21" i="66"/>
  <c r="E22" i="66"/>
  <c r="F22" i="66"/>
  <c r="E23" i="66"/>
  <c r="F23" i="66"/>
  <c r="B3" i="66"/>
  <c r="B10" i="59"/>
  <c r="E10" i="59"/>
  <c r="F10" i="59"/>
  <c r="F9" i="59" s="1"/>
  <c r="F8" i="59" s="1"/>
  <c r="F7" i="59" s="1"/>
  <c r="F6" i="59" s="1"/>
  <c r="V10" i="59"/>
  <c r="AD3" i="59"/>
  <c r="AG3" i="59"/>
  <c r="AD11" i="59"/>
  <c r="AE11" i="59"/>
  <c r="AF11" i="59" s="1"/>
  <c r="AG11" i="59"/>
  <c r="AH11" i="59"/>
  <c r="AD12" i="59"/>
  <c r="AE12" i="59"/>
  <c r="AF12" i="59"/>
  <c r="AG12" i="59"/>
  <c r="AH12" i="59"/>
  <c r="AD13" i="59"/>
  <c r="AE13" i="59"/>
  <c r="AF13" i="59"/>
  <c r="AG13" i="59"/>
  <c r="AH13" i="59"/>
  <c r="AD14" i="59"/>
  <c r="AE14" i="59"/>
  <c r="AF14" i="59"/>
  <c r="AG14" i="59"/>
  <c r="AH14" i="59"/>
  <c r="AD15" i="59"/>
  <c r="AE15" i="59"/>
  <c r="AF15" i="59" s="1"/>
  <c r="AG15" i="59"/>
  <c r="AH15" i="59"/>
  <c r="AD16" i="59"/>
  <c r="AE16" i="59"/>
  <c r="AF16" i="59"/>
  <c r="AG16" i="59"/>
  <c r="AH16" i="59"/>
  <c r="AD17" i="59"/>
  <c r="AE17" i="59"/>
  <c r="AF17" i="59"/>
  <c r="AG17" i="59"/>
  <c r="AH17" i="59"/>
  <c r="AD18" i="59"/>
  <c r="AE18" i="59"/>
  <c r="AF18" i="59"/>
  <c r="AG18" i="59"/>
  <c r="AH18" i="59"/>
  <c r="AD19" i="59"/>
  <c r="AE19" i="59"/>
  <c r="AF19" i="59" s="1"/>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B17" i="63" s="1"/>
  <c r="Y12" i="46"/>
  <c r="AA9" i="46"/>
  <c r="AB9" i="46"/>
  <c r="AB10" i="46" s="1"/>
  <c r="AC9" i="46"/>
  <c r="AC12" i="46" s="1"/>
  <c r="AD9" i="46"/>
  <c r="AD10" i="46" s="1"/>
  <c r="AE9" i="46"/>
  <c r="AF9" i="46"/>
  <c r="AF10" i="46" s="1"/>
  <c r="AG9" i="46"/>
  <c r="AH9" i="46"/>
  <c r="AH10" i="46" s="1"/>
  <c r="AI9" i="46"/>
  <c r="AJ9" i="46"/>
  <c r="AJ10" i="46" s="1"/>
  <c r="Z9" i="46"/>
  <c r="Z10" i="46" s="1"/>
  <c r="AI10" i="46"/>
  <c r="AE10" i="46"/>
  <c r="AC10" i="46"/>
  <c r="AA10" i="46"/>
  <c r="Y10" i="46"/>
  <c r="AI12" i="46"/>
  <c r="AE12" i="46"/>
  <c r="AA12" i="46"/>
  <c r="B73" i="63"/>
  <c r="A21" i="64"/>
  <c r="B75" i="63" s="1"/>
  <c r="A27" i="64"/>
  <c r="A15" i="64"/>
  <c r="A14" i="64"/>
  <c r="A11" i="64"/>
  <c r="A3" i="64"/>
  <c r="A45" i="9"/>
  <c r="A46" i="9" s="1"/>
  <c r="K41" i="9" s="1"/>
  <c r="A44" i="9"/>
  <c r="K39" i="9" s="1"/>
  <c r="C57" i="10"/>
  <c r="A28" i="51" s="1"/>
  <c r="C56" i="10"/>
  <c r="C55" i="10"/>
  <c r="C54" i="10"/>
  <c r="B49" i="63"/>
  <c r="B44" i="63"/>
  <c r="B40" i="63"/>
  <c r="B30" i="63"/>
  <c r="B27" i="63"/>
  <c r="B25" i="63"/>
  <c r="A11" i="51"/>
  <c r="A26" i="64"/>
  <c r="A26" i="51"/>
  <c r="B19" i="63" s="1"/>
  <c r="K40" i="9"/>
  <c r="B58" i="63"/>
  <c r="B53" i="63"/>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A4" i="55"/>
  <c r="B57" i="63" s="1"/>
  <c r="B41" i="63"/>
  <c r="G5" i="54"/>
  <c r="B34" i="63" s="1"/>
  <c r="E5" i="54"/>
  <c r="B32" i="63" s="1"/>
  <c r="R2" i="54"/>
  <c r="B24" i="63" s="1"/>
  <c r="B49" i="50"/>
  <c r="B5" i="63"/>
  <c r="B40" i="50"/>
  <c r="B3" i="63" s="1"/>
  <c r="B67" i="63"/>
  <c r="I19" i="46"/>
  <c r="Q14" i="59"/>
  <c r="P14" i="59"/>
  <c r="E14" i="59" s="1"/>
  <c r="E13" i="59" s="1"/>
  <c r="E12" i="59" s="1"/>
  <c r="O14" i="59"/>
  <c r="N14" i="59"/>
  <c r="X10" i="59" s="1"/>
  <c r="D75" i="59"/>
  <c r="F74" i="59"/>
  <c r="E74" i="59"/>
  <c r="E73" i="59" s="1"/>
  <c r="E72" i="59" s="1"/>
  <c r="C74" i="59"/>
  <c r="D74" i="59"/>
  <c r="B74" i="59"/>
  <c r="B73" i="59" s="1"/>
  <c r="B72" i="59" s="1"/>
  <c r="F73" i="59"/>
  <c r="F72" i="59" s="1"/>
  <c r="D71" i="59"/>
  <c r="F70" i="59"/>
  <c r="E70" i="59"/>
  <c r="E69" i="59"/>
  <c r="E68" i="59" s="1"/>
  <c r="C70" i="59"/>
  <c r="D70" i="59"/>
  <c r="B70" i="59"/>
  <c r="F69" i="59"/>
  <c r="F68" i="59" s="1"/>
  <c r="B69" i="59"/>
  <c r="B68" i="59" s="1"/>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S62" i="59" s="1"/>
  <c r="Q61" i="59"/>
  <c r="P61" i="59"/>
  <c r="O61" i="59"/>
  <c r="N61" i="59"/>
  <c r="B61" i="59"/>
  <c r="B60" i="59" s="1"/>
  <c r="Q60" i="59"/>
  <c r="P60" i="59"/>
  <c r="O60" i="59"/>
  <c r="N60" i="59"/>
  <c r="Q59" i="59"/>
  <c r="P59" i="59"/>
  <c r="O59" i="59"/>
  <c r="N59" i="59"/>
  <c r="D59" i="59"/>
  <c r="Q58" i="59"/>
  <c r="P58" i="59"/>
  <c r="O58" i="59"/>
  <c r="N58" i="59"/>
  <c r="F58" i="59"/>
  <c r="V58" i="59" s="1"/>
  <c r="E58" i="59"/>
  <c r="U58" i="59"/>
  <c r="C58" i="59"/>
  <c r="T58" i="59" s="1"/>
  <c r="B58" i="59"/>
  <c r="S58" i="59"/>
  <c r="Q57" i="59"/>
  <c r="P57" i="59"/>
  <c r="O57" i="59"/>
  <c r="N57" i="59"/>
  <c r="F57" i="59"/>
  <c r="F56" i="59" s="1"/>
  <c r="B57" i="59"/>
  <c r="B56" i="59"/>
  <c r="Q56" i="59"/>
  <c r="P56" i="59"/>
  <c r="O56" i="59"/>
  <c r="N56" i="59"/>
  <c r="Q55" i="59"/>
  <c r="P55" i="59"/>
  <c r="O55" i="59"/>
  <c r="N55" i="59"/>
  <c r="D55" i="59"/>
  <c r="F54" i="59"/>
  <c r="V54" i="59" s="1"/>
  <c r="E54" i="59"/>
  <c r="E53" i="59" s="1"/>
  <c r="C54" i="59"/>
  <c r="B54" i="59"/>
  <c r="S54" i="59" s="1"/>
  <c r="F53" i="59"/>
  <c r="F52" i="59" s="1"/>
  <c r="Q52" i="59" s="1"/>
  <c r="B53" i="59"/>
  <c r="N53" i="59" s="1"/>
  <c r="D51" i="59"/>
  <c r="Q50" i="59"/>
  <c r="P50" i="59"/>
  <c r="O50" i="59"/>
  <c r="N50" i="59"/>
  <c r="Q49" i="59"/>
  <c r="P49" i="59"/>
  <c r="O49" i="59"/>
  <c r="N49" i="59"/>
  <c r="Q48" i="59"/>
  <c r="P48" i="59"/>
  <c r="E49" i="59" s="1"/>
  <c r="E50" i="59" s="1"/>
  <c r="U50" i="59" s="1"/>
  <c r="O48" i="59"/>
  <c r="N48" i="59"/>
  <c r="Q47" i="59"/>
  <c r="F48" i="59"/>
  <c r="P47" i="59"/>
  <c r="E48"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s="1"/>
  <c r="E45" i="59" s="1"/>
  <c r="E46" i="59" s="1"/>
  <c r="U46" i="59" s="1"/>
  <c r="O43" i="59"/>
  <c r="C44" i="59" s="1"/>
  <c r="N43" i="59"/>
  <c r="B44" i="59"/>
  <c r="B45" i="59" s="1"/>
  <c r="B46" i="59" s="1"/>
  <c r="S46" i="59" s="1"/>
  <c r="D43" i="59"/>
  <c r="Q42" i="59"/>
  <c r="P42" i="59"/>
  <c r="O42" i="59"/>
  <c r="N42" i="59"/>
  <c r="Q41" i="59"/>
  <c r="P41" i="59"/>
  <c r="O41" i="59"/>
  <c r="N41" i="59"/>
  <c r="Q40" i="59"/>
  <c r="P40" i="59"/>
  <c r="O40" i="59"/>
  <c r="N40" i="59"/>
  <c r="Q39" i="59"/>
  <c r="F40" i="59" s="1"/>
  <c r="F41" i="59" s="1"/>
  <c r="F42" i="59" s="1"/>
  <c r="V42" i="59" s="1"/>
  <c r="P39" i="59"/>
  <c r="E40" i="59"/>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O31" i="59"/>
  <c r="C32" i="59" s="1"/>
  <c r="N31" i="59"/>
  <c r="B32" i="59" s="1"/>
  <c r="B33" i="59" s="1"/>
  <c r="B34" i="59" s="1"/>
  <c r="S34" i="59" s="1"/>
  <c r="D31" i="59"/>
  <c r="Q30" i="59"/>
  <c r="P30" i="59"/>
  <c r="O30" i="59"/>
  <c r="N30" i="59"/>
  <c r="Q29" i="59"/>
  <c r="P29" i="59"/>
  <c r="O29" i="59"/>
  <c r="N29" i="59"/>
  <c r="Q28" i="59"/>
  <c r="P28" i="59"/>
  <c r="O28" i="59"/>
  <c r="N28" i="59"/>
  <c r="Q27" i="59"/>
  <c r="F28" i="59" s="1"/>
  <c r="P27" i="59"/>
  <c r="E28" i="59" s="1"/>
  <c r="E29" i="59" s="1"/>
  <c r="E30" i="59" s="1"/>
  <c r="U30" i="59" s="1"/>
  <c r="O27" i="59"/>
  <c r="C28" i="59" s="1"/>
  <c r="N27" i="59"/>
  <c r="B28" i="59"/>
  <c r="B29" i="59"/>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P23" i="59"/>
  <c r="E24" i="59"/>
  <c r="E25" i="59" s="1"/>
  <c r="E26" i="59" s="1"/>
  <c r="U26" i="59" s="1"/>
  <c r="O23" i="59"/>
  <c r="Y23" i="59" s="1"/>
  <c r="Z23" i="59" s="1"/>
  <c r="C24" i="59"/>
  <c r="N23" i="59"/>
  <c r="B24" i="59" s="1"/>
  <c r="B25" i="59"/>
  <c r="B26" i="59" s="1"/>
  <c r="S26" i="59" s="1"/>
  <c r="D23" i="59"/>
  <c r="Q22" i="59"/>
  <c r="AB22" i="59" s="1"/>
  <c r="P22" i="59"/>
  <c r="O22" i="59"/>
  <c r="Y22" i="59" s="1"/>
  <c r="Z22" i="59" s="1"/>
  <c r="N22" i="59"/>
  <c r="Q21" i="59"/>
  <c r="AB21" i="59" s="1"/>
  <c r="P21" i="59"/>
  <c r="AA21" i="59" s="1"/>
  <c r="O21" i="59"/>
  <c r="Y21" i="59" s="1"/>
  <c r="Z21" i="59" s="1"/>
  <c r="N21" i="59"/>
  <c r="Q20" i="59"/>
  <c r="AB20" i="59" s="1"/>
  <c r="P20" i="59"/>
  <c r="AA20" i="59" s="1"/>
  <c r="O20" i="59"/>
  <c r="Y20" i="59" s="1"/>
  <c r="Z20" i="59" s="1"/>
  <c r="N20" i="59"/>
  <c r="Q19" i="59"/>
  <c r="AB16" i="59" s="1"/>
  <c r="P19" i="59"/>
  <c r="O19" i="59"/>
  <c r="C20" i="59"/>
  <c r="N19" i="59"/>
  <c r="X19" i="59" s="1"/>
  <c r="D19" i="59"/>
  <c r="Q18" i="59"/>
  <c r="P18" i="59"/>
  <c r="O18" i="59"/>
  <c r="Y18" i="59" s="1"/>
  <c r="Z18" i="59" s="1"/>
  <c r="N18" i="59"/>
  <c r="X18" i="59" s="1"/>
  <c r="Q17" i="59"/>
  <c r="P17" i="59"/>
  <c r="AA17" i="59" s="1"/>
  <c r="O17" i="59"/>
  <c r="N17" i="59"/>
  <c r="X17" i="59" s="1"/>
  <c r="Q16" i="59"/>
  <c r="P16" i="59"/>
  <c r="AA3" i="59" s="1"/>
  <c r="O16" i="59"/>
  <c r="N16" i="59"/>
  <c r="X16" i="59" s="1"/>
  <c r="Q15" i="59"/>
  <c r="F16" i="59"/>
  <c r="F17" i="59" s="1"/>
  <c r="P15" i="59"/>
  <c r="AA9" i="59" s="1"/>
  <c r="O15" i="59"/>
  <c r="C16" i="59" s="1"/>
  <c r="C17" i="59" s="1"/>
  <c r="N15" i="59"/>
  <c r="X15" i="59" s="1"/>
  <c r="B16" i="59"/>
  <c r="D15" i="59"/>
  <c r="X11" i="59"/>
  <c r="AA11" i="59"/>
  <c r="AB12" i="59"/>
  <c r="E16" i="59"/>
  <c r="E17" i="59" s="1"/>
  <c r="E18" i="59" s="1"/>
  <c r="U18" i="59" s="1"/>
  <c r="B37" i="59"/>
  <c r="B38" i="59" s="1"/>
  <c r="S38" i="59"/>
  <c r="AA25" i="59"/>
  <c r="F18" i="59"/>
  <c r="V18" i="59" s="1"/>
  <c r="F25" i="59"/>
  <c r="F26" i="59" s="1"/>
  <c r="V26" i="59" s="1"/>
  <c r="F29" i="59"/>
  <c r="F30" i="59" s="1"/>
  <c r="V30" i="59" s="1"/>
  <c r="F45" i="59"/>
  <c r="F46" i="59"/>
  <c r="V46" i="59" s="1"/>
  <c r="F49" i="59"/>
  <c r="F50" i="59" s="1"/>
  <c r="V50" i="59" s="1"/>
  <c r="C25" i="59"/>
  <c r="D24" i="59"/>
  <c r="C33" i="59"/>
  <c r="D33" i="59"/>
  <c r="D32" i="59"/>
  <c r="C37" i="59"/>
  <c r="D36" i="59"/>
  <c r="C41" i="59"/>
  <c r="D40" i="59"/>
  <c r="C45" i="59"/>
  <c r="D44" i="59"/>
  <c r="C49" i="59"/>
  <c r="D48" i="59"/>
  <c r="C21" i="59"/>
  <c r="D20" i="59"/>
  <c r="B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L16" i="4" s="1"/>
  <c r="D73" i="59"/>
  <c r="C72" i="59"/>
  <c r="D72" i="59" s="1"/>
  <c r="D65" i="59"/>
  <c r="C64" i="59"/>
  <c r="D64" i="59"/>
  <c r="D57" i="59"/>
  <c r="C56" i="59"/>
  <c r="D56" i="59" s="1"/>
  <c r="C52" i="59"/>
  <c r="D52" i="59" s="1"/>
  <c r="O53" i="59"/>
  <c r="D53" i="59"/>
  <c r="D69" i="59"/>
  <c r="C68" i="59"/>
  <c r="D68" i="59" s="1"/>
  <c r="D61" i="59"/>
  <c r="C60" i="59"/>
  <c r="D60" i="59"/>
  <c r="N51" i="59"/>
  <c r="N52" i="59"/>
  <c r="C22" i="59"/>
  <c r="D21" i="59"/>
  <c r="C50" i="59"/>
  <c r="D49" i="59"/>
  <c r="D45" i="59"/>
  <c r="C46" i="59"/>
  <c r="D46" i="59" s="1"/>
  <c r="C42" i="59"/>
  <c r="D41" i="59"/>
  <c r="C38" i="59"/>
  <c r="D38" i="59" s="1"/>
  <c r="D37" i="59"/>
  <c r="C26" i="59"/>
  <c r="D26" i="59" s="1"/>
  <c r="D25" i="59"/>
  <c r="T46" i="59"/>
  <c r="T26" i="59"/>
  <c r="T38" i="59"/>
  <c r="T42" i="59"/>
  <c r="D42" i="59"/>
  <c r="T50" i="59"/>
  <c r="D50" i="59"/>
  <c r="T22" i="59"/>
  <c r="D22" i="59"/>
  <c r="O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C18" i="35"/>
  <c r="D68" i="35"/>
  <c r="E68" i="35" s="1"/>
  <c r="F68" i="35" s="1"/>
  <c r="G68" i="35" s="1"/>
  <c r="Z21" i="37"/>
  <c r="Q21" i="37"/>
  <c r="F21" i="37"/>
  <c r="AA21" i="37" s="1"/>
  <c r="C21" i="37"/>
  <c r="D77" i="37"/>
  <c r="E77" i="37" s="1"/>
  <c r="F77" i="37" s="1"/>
  <c r="G77" i="37" s="1"/>
  <c r="Q21" i="34"/>
  <c r="Z21" i="34" s="1"/>
  <c r="C21" i="34"/>
  <c r="D84" i="34"/>
  <c r="F21" i="34"/>
  <c r="S21" i="34" s="1"/>
  <c r="AA21" i="34"/>
  <c r="Q21" i="33"/>
  <c r="Z21" i="33" s="1"/>
  <c r="C21" i="33"/>
  <c r="D83" i="33"/>
  <c r="E83" i="33" s="1"/>
  <c r="F83" i="33" s="1"/>
  <c r="G83" i="33" s="1"/>
  <c r="Z21" i="21"/>
  <c r="Q21" i="21"/>
  <c r="D83" i="21"/>
  <c r="E83" i="21" s="1"/>
  <c r="F83" i="21" s="1"/>
  <c r="G83" i="21" s="1"/>
  <c r="F21" i="21"/>
  <c r="AA21" i="21" s="1"/>
  <c r="C21" i="21"/>
  <c r="Q27" i="40"/>
  <c r="Z27" i="40" s="1"/>
  <c r="D96" i="40"/>
  <c r="E96" i="40"/>
  <c r="F27" i="40"/>
  <c r="AA27" i="40" s="1"/>
  <c r="Q31" i="39"/>
  <c r="Z31" i="39" s="1"/>
  <c r="D105" i="39"/>
  <c r="E105" i="39" s="1"/>
  <c r="F105" i="39" s="1"/>
  <c r="G105" i="39" s="1"/>
  <c r="G20" i="20"/>
  <c r="B85" i="46"/>
  <c r="C22" i="20"/>
  <c r="B65" i="46" s="1"/>
  <c r="S18" i="36"/>
  <c r="S21" i="37"/>
  <c r="C27" i="40"/>
  <c r="C31" i="39"/>
  <c r="B54" i="46"/>
  <c r="E66" i="36"/>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AZ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A199" i="3" s="1"/>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AZ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AZ256" i="3" s="1"/>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A247" i="3" s="1"/>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AZ232" i="3" s="1"/>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L385" i="3" s="1"/>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L369" i="3" s="1"/>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L470" i="3" s="1"/>
  <c r="AZ470" i="3" s="1"/>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AZ408" i="3" s="1"/>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G389" i="3" s="1"/>
  <c r="H389" i="3"/>
  <c r="H62" i="40"/>
  <c r="I62" i="40"/>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22" i="6"/>
  <c r="E23" i="6"/>
  <c r="E24" i="6"/>
  <c r="E25" i="6"/>
  <c r="E26" i="6"/>
  <c r="D38" i="4"/>
  <c r="C39" i="4"/>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G14" i="3" s="1"/>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s="1"/>
  <c r="J31" i="35"/>
  <c r="AC31" i="35" s="1"/>
  <c r="H31" i="35"/>
  <c r="F31" i="35"/>
  <c r="AA31" i="35" s="1"/>
  <c r="D87" i="35"/>
  <c r="E87" i="35" s="1"/>
  <c r="F87" i="35" s="1"/>
  <c r="G87" i="35" s="1"/>
  <c r="H87" i="35" s="1"/>
  <c r="H34" i="37"/>
  <c r="D101" i="37"/>
  <c r="F34" i="37"/>
  <c r="D99" i="37"/>
  <c r="E99" i="37" s="1"/>
  <c r="H42" i="34"/>
  <c r="AB42" i="34" s="1"/>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c r="G71" i="37" s="1"/>
  <c r="F15" i="37"/>
  <c r="AA15" i="37" s="1"/>
  <c r="B68" i="37"/>
  <c r="H14" i="37" s="1"/>
  <c r="U14" i="37" s="1"/>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H23" i="36" s="1"/>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AB34" i="35" s="1"/>
  <c r="B77" i="35"/>
  <c r="B75" i="35"/>
  <c r="J24" i="35" s="1"/>
  <c r="AC24" i="35" s="1"/>
  <c r="B73" i="35"/>
  <c r="B57" i="35"/>
  <c r="B61" i="35"/>
  <c r="B59" i="35"/>
  <c r="H12" i="35"/>
  <c r="B131" i="34"/>
  <c r="B129" i="34"/>
  <c r="B127" i="34"/>
  <c r="B99" i="34"/>
  <c r="B97" i="34"/>
  <c r="B95" i="34"/>
  <c r="B93" i="34"/>
  <c r="B75" i="34"/>
  <c r="B73" i="34"/>
  <c r="B71" i="34"/>
  <c r="B130" i="33"/>
  <c r="B128" i="33"/>
  <c r="H45" i="33" s="1"/>
  <c r="U45" i="33"/>
  <c r="B126" i="33"/>
  <c r="B98" i="33"/>
  <c r="F31" i="33" s="1"/>
  <c r="AA31" i="33"/>
  <c r="B96" i="33"/>
  <c r="B94" i="33"/>
  <c r="B74" i="33"/>
  <c r="B72" i="33"/>
  <c r="B70" i="33"/>
  <c r="D96" i="35"/>
  <c r="E96" i="35" s="1"/>
  <c r="F96" i="35" s="1"/>
  <c r="G96" i="35" s="1"/>
  <c r="D94" i="35"/>
  <c r="D84" i="35"/>
  <c r="D80" i="35"/>
  <c r="D72" i="35"/>
  <c r="D70" i="35"/>
  <c r="E70" i="35" s="1"/>
  <c r="F70" i="35" s="1"/>
  <c r="G70" i="35" s="1"/>
  <c r="D66" i="35"/>
  <c r="E66" i="35" s="1"/>
  <c r="D64" i="35"/>
  <c r="E64" i="35" s="1"/>
  <c r="F56" i="35"/>
  <c r="G56" i="35" s="1"/>
  <c r="H56" i="35" s="1"/>
  <c r="I56" i="35" s="1"/>
  <c r="C53" i="35"/>
  <c r="H9" i="35" s="1"/>
  <c r="P39" i="35"/>
  <c r="P38" i="35"/>
  <c r="V37" i="35"/>
  <c r="T37" i="35"/>
  <c r="R37" i="35"/>
  <c r="P37" i="35"/>
  <c r="Q36" i="35"/>
  <c r="Z36" i="35" s="1"/>
  <c r="J36" i="35"/>
  <c r="AC36" i="35" s="1"/>
  <c r="Q35" i="35"/>
  <c r="Z35" i="35" s="1"/>
  <c r="Q34" i="35"/>
  <c r="Z34" i="35" s="1"/>
  <c r="Q33" i="35"/>
  <c r="Z33" i="35"/>
  <c r="Q32" i="35"/>
  <c r="Z32" i="35"/>
  <c r="H32" i="35"/>
  <c r="AB32" i="35" s="1"/>
  <c r="F32" i="35"/>
  <c r="AA32" i="35" s="1"/>
  <c r="Q31" i="35"/>
  <c r="Z31" i="35"/>
  <c r="AB31" i="35"/>
  <c r="Q30" i="35"/>
  <c r="Z30" i="35" s="1"/>
  <c r="Q29" i="35"/>
  <c r="Z29" i="35" s="1"/>
  <c r="Q28" i="35"/>
  <c r="Z28" i="35" s="1"/>
  <c r="J28" i="35"/>
  <c r="F28" i="35"/>
  <c r="AA28" i="35" s="1"/>
  <c r="Q27" i="35"/>
  <c r="Z27" i="35"/>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c r="Q9" i="35"/>
  <c r="Z9" i="35"/>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W43" i="34" s="1"/>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F9" i="34"/>
  <c r="AA9" i="34"/>
  <c r="J8" i="34"/>
  <c r="AC8" i="34"/>
  <c r="H8" i="34"/>
  <c r="U8" i="34"/>
  <c r="F8" i="34"/>
  <c r="AA8" i="34"/>
  <c r="C7" i="34"/>
  <c r="D121" i="33"/>
  <c r="F109" i="33"/>
  <c r="E109" i="33"/>
  <c r="D109" i="33"/>
  <c r="C109" i="33"/>
  <c r="D91" i="33"/>
  <c r="E91" i="33"/>
  <c r="F91" i="33"/>
  <c r="G91" i="33"/>
  <c r="H91" i="33" s="1"/>
  <c r="I91" i="33" s="1"/>
  <c r="J91" i="33" s="1"/>
  <c r="K91" i="33" s="1"/>
  <c r="L91" i="33" s="1"/>
  <c r="M91" i="33" s="1"/>
  <c r="B88" i="33"/>
  <c r="H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s="1"/>
  <c r="U27" i="33"/>
  <c r="D87" i="33"/>
  <c r="E87" i="33" s="1"/>
  <c r="D85" i="33"/>
  <c r="E85" i="33"/>
  <c r="D81" i="33"/>
  <c r="E81" i="33" s="1"/>
  <c r="F81" i="33" s="1"/>
  <c r="G81" i="33" s="1"/>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J12" i="33"/>
  <c r="W12" i="33"/>
  <c r="H12" i="33"/>
  <c r="U12" i="33" s="1"/>
  <c r="F12" i="33"/>
  <c r="S12" i="33"/>
  <c r="Q11" i="33"/>
  <c r="Z11" i="33" s="1"/>
  <c r="Q10" i="33"/>
  <c r="Z10" i="33" s="1"/>
  <c r="Q9" i="33"/>
  <c r="Z9" i="33" s="1"/>
  <c r="J9" i="33"/>
  <c r="AC9" i="33" s="1"/>
  <c r="H9" i="33"/>
  <c r="F9" i="33"/>
  <c r="AA9" i="33"/>
  <c r="J8" i="33"/>
  <c r="W8" i="33" s="1"/>
  <c r="H8" i="33"/>
  <c r="F8" i="33"/>
  <c r="C7" i="33"/>
  <c r="C58" i="33" s="1"/>
  <c r="M102" i="21"/>
  <c r="D102" i="21"/>
  <c r="E102" i="21"/>
  <c r="F102" i="21"/>
  <c r="G102" i="21"/>
  <c r="H102" i="21"/>
  <c r="I102" i="21"/>
  <c r="J102" i="21"/>
  <c r="K102" i="21"/>
  <c r="L102" i="21"/>
  <c r="C102" i="21"/>
  <c r="C63" i="21"/>
  <c r="G18" i="20"/>
  <c r="B87" i="46" s="1"/>
  <c r="C25" i="40"/>
  <c r="G16" i="20"/>
  <c r="B81" i="46"/>
  <c r="G15" i="20"/>
  <c r="B80" i="46"/>
  <c r="C24" i="20"/>
  <c r="B72" i="46"/>
  <c r="C21" i="20"/>
  <c r="C20" i="20"/>
  <c r="B76" i="46" s="1"/>
  <c r="C18" i="20"/>
  <c r="B70" i="46"/>
  <c r="C17" i="20"/>
  <c r="B58" i="46"/>
  <c r="C16" i="20"/>
  <c r="B47" i="46"/>
  <c r="C15" i="20"/>
  <c r="B69" i="46"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B130" i="21"/>
  <c r="B128" i="21"/>
  <c r="B126" i="21"/>
  <c r="F44" i="21" s="1"/>
  <c r="AA44" i="21" s="1"/>
  <c r="B98" i="21"/>
  <c r="B96" i="21"/>
  <c r="B94" i="21"/>
  <c r="B92" i="21"/>
  <c r="B90" i="21"/>
  <c r="B74" i="21"/>
  <c r="H14" i="21" s="1"/>
  <c r="U14" i="21" s="1"/>
  <c r="B72" i="21"/>
  <c r="B70" i="21"/>
  <c r="F12" i="21" s="1"/>
  <c r="F10" i="21"/>
  <c r="AA10" i="21" s="1"/>
  <c r="C7" i="21"/>
  <c r="C58"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G9" i="12"/>
  <c r="K5" i="3"/>
  <c r="F20" i="6" s="1"/>
  <c r="E20" i="6" s="1"/>
  <c r="J5" i="3"/>
  <c r="BE10" i="3"/>
  <c r="BD13" i="3"/>
  <c r="BD5" i="3" s="1"/>
  <c r="BE13" i="3"/>
  <c r="BF13" i="3"/>
  <c r="BG13" i="3"/>
  <c r="BG5" i="3" s="1"/>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s="1"/>
  <c r="H571" i="3"/>
  <c r="H572" i="3"/>
  <c r="F5" i="3"/>
  <c r="F34" i="21"/>
  <c r="AA34" i="21" s="1"/>
  <c r="H34" i="21"/>
  <c r="U34" i="21" s="1"/>
  <c r="F43" i="21"/>
  <c r="S43" i="21" s="1"/>
  <c r="H38" i="21"/>
  <c r="AB38" i="21" s="1"/>
  <c r="F32" i="21"/>
  <c r="AA32" i="21" s="1"/>
  <c r="F38" i="21"/>
  <c r="AA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F103" i="37"/>
  <c r="F39" i="37"/>
  <c r="AA39" i="37" s="1"/>
  <c r="S39" i="37"/>
  <c r="F29" i="36"/>
  <c r="AA29" i="36" s="1"/>
  <c r="F16" i="36"/>
  <c r="AA16" i="36" s="1"/>
  <c r="U22" i="36"/>
  <c r="W23" i="36"/>
  <c r="W22" i="36"/>
  <c r="U26" i="36"/>
  <c r="AC31" i="36"/>
  <c r="J33" i="36"/>
  <c r="W33" i="36" s="1"/>
  <c r="U31" i="35"/>
  <c r="W36" i="35"/>
  <c r="W24" i="35"/>
  <c r="U34" i="35"/>
  <c r="F36" i="34"/>
  <c r="S36" i="34" s="1"/>
  <c r="S34" i="34"/>
  <c r="W39" i="34"/>
  <c r="H39" i="33"/>
  <c r="AB39" i="33"/>
  <c r="F26" i="33"/>
  <c r="AA26" i="33"/>
  <c r="U33" i="33"/>
  <c r="W38" i="33"/>
  <c r="S40" i="33"/>
  <c r="W33" i="33"/>
  <c r="U38" i="33"/>
  <c r="H39" i="37"/>
  <c r="AB39" i="37" s="1"/>
  <c r="S10" i="40"/>
  <c r="W10" i="40"/>
  <c r="S11" i="40"/>
  <c r="U11" i="40"/>
  <c r="S36" i="40"/>
  <c r="U36" i="40"/>
  <c r="S36" i="39"/>
  <c r="C23" i="39"/>
  <c r="U36" i="39"/>
  <c r="H32" i="33"/>
  <c r="AB32" i="33" s="1"/>
  <c r="F100" i="40"/>
  <c r="F86" i="40"/>
  <c r="G86" i="40" s="1"/>
  <c r="AA12" i="33"/>
  <c r="J27" i="36"/>
  <c r="W27" i="36"/>
  <c r="J34" i="36"/>
  <c r="W34" i="36"/>
  <c r="J30" i="35"/>
  <c r="W30" i="35" s="1"/>
  <c r="F22" i="35"/>
  <c r="AA22" i="35" s="1"/>
  <c r="H10" i="35"/>
  <c r="U10" i="35" s="1"/>
  <c r="U29" i="36"/>
  <c r="E85" i="36"/>
  <c r="F85" i="36" s="1"/>
  <c r="G85" i="36"/>
  <c r="H85" i="36"/>
  <c r="I85" i="36" s="1"/>
  <c r="J85" i="36" s="1"/>
  <c r="K85" i="36" s="1"/>
  <c r="L85" i="36" s="1"/>
  <c r="M85" i="36" s="1"/>
  <c r="J29" i="36"/>
  <c r="AC29" i="36"/>
  <c r="F12" i="36"/>
  <c r="S12" i="36"/>
  <c r="F34" i="36"/>
  <c r="S34" i="36"/>
  <c r="S10" i="36"/>
  <c r="AB8" i="36"/>
  <c r="H33" i="35"/>
  <c r="AB33" i="35" s="1"/>
  <c r="W8" i="35"/>
  <c r="F35" i="37"/>
  <c r="E101" i="37"/>
  <c r="F101" i="37" s="1"/>
  <c r="G101" i="37" s="1"/>
  <c r="H101" i="37" s="1"/>
  <c r="I101" i="37" s="1"/>
  <c r="J101" i="37" s="1"/>
  <c r="K101" i="37" s="1"/>
  <c r="L101" i="37" s="1"/>
  <c r="M101" i="37" s="1"/>
  <c r="J34" i="37"/>
  <c r="W34" i="37" s="1"/>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S34" i="37"/>
  <c r="AA34" i="37"/>
  <c r="AC43" i="34"/>
  <c r="AB40" i="34"/>
  <c r="W36" i="34"/>
  <c r="J19" i="34"/>
  <c r="AC19" i="34" s="1"/>
  <c r="F113" i="33"/>
  <c r="G113" i="33" s="1"/>
  <c r="H113" i="33" s="1"/>
  <c r="I113" i="33" s="1"/>
  <c r="J113" i="33" s="1"/>
  <c r="K113" i="33" s="1"/>
  <c r="L113" i="33" s="1"/>
  <c r="M113" i="33" s="1"/>
  <c r="H37" i="33"/>
  <c r="AB37" i="33"/>
  <c r="S37" i="33"/>
  <c r="AC42" i="34"/>
  <c r="W42" i="34"/>
  <c r="AA42" i="34"/>
  <c r="AC38" i="34"/>
  <c r="W38" i="34"/>
  <c r="AA38" i="34"/>
  <c r="S38" i="34"/>
  <c r="J37" i="33"/>
  <c r="W37" i="33" s="1"/>
  <c r="J44" i="34"/>
  <c r="AC44" i="34" s="1"/>
  <c r="F44" i="34"/>
  <c r="S44" i="34"/>
  <c r="J10" i="35"/>
  <c r="W10" i="35" s="1"/>
  <c r="AL5" i="3"/>
  <c r="BQ13" i="3"/>
  <c r="BL13" i="3"/>
  <c r="BL572" i="3"/>
  <c r="J14" i="21"/>
  <c r="F14" i="21"/>
  <c r="AA14" i="21"/>
  <c r="H28" i="21"/>
  <c r="AB28" i="21" s="1"/>
  <c r="F28" i="21"/>
  <c r="S28" i="21" s="1"/>
  <c r="J28" i="21"/>
  <c r="AC28" i="21" s="1"/>
  <c r="H30" i="21"/>
  <c r="U30" i="21" s="1"/>
  <c r="F30" i="21"/>
  <c r="S30" i="21" s="1"/>
  <c r="J30" i="21"/>
  <c r="AC30" i="21" s="1"/>
  <c r="J44" i="21"/>
  <c r="AC44" i="21" s="1"/>
  <c r="H44" i="21"/>
  <c r="U44" i="21" s="1"/>
  <c r="H46" i="21"/>
  <c r="AB46" i="21" s="1"/>
  <c r="J46" i="21"/>
  <c r="W46" i="21" s="1"/>
  <c r="F46" i="21"/>
  <c r="AA46" i="21" s="1"/>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s="1"/>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c r="H45" i="21"/>
  <c r="U45" i="21" s="1"/>
  <c r="J27" i="33"/>
  <c r="AC27" i="33"/>
  <c r="F27" i="33"/>
  <c r="S27" i="33" s="1"/>
  <c r="F13" i="33"/>
  <c r="S13" i="33"/>
  <c r="J29" i="33"/>
  <c r="W29" i="33" s="1"/>
  <c r="J31" i="33"/>
  <c r="AC31" i="33"/>
  <c r="H31" i="33"/>
  <c r="U31" i="33" s="1"/>
  <c r="S31" i="33"/>
  <c r="J45" i="33"/>
  <c r="W45" i="33" s="1"/>
  <c r="F45" i="33"/>
  <c r="S45" i="33"/>
  <c r="F11" i="35"/>
  <c r="S11" i="35" s="1"/>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W29" i="37"/>
  <c r="F29" i="37"/>
  <c r="AA29" i="37" s="1"/>
  <c r="F105" i="37"/>
  <c r="G105" i="37" s="1"/>
  <c r="AB36" i="37"/>
  <c r="F107" i="37"/>
  <c r="J37" i="37"/>
  <c r="AC37" i="37"/>
  <c r="H37" i="37"/>
  <c r="U37" i="37" s="1"/>
  <c r="H40" i="37"/>
  <c r="U40" i="37"/>
  <c r="J40" i="37"/>
  <c r="F40" i="37"/>
  <c r="AA40" i="37" s="1"/>
  <c r="H14" i="33"/>
  <c r="U14" i="33"/>
  <c r="F14" i="33"/>
  <c r="AA14" i="33" s="1"/>
  <c r="J14" i="33"/>
  <c r="AC14" i="33"/>
  <c r="H30" i="33"/>
  <c r="AB30" i="33" s="1"/>
  <c r="F30" i="33"/>
  <c r="S30" i="33"/>
  <c r="J30" i="33"/>
  <c r="H44" i="33"/>
  <c r="U44" i="33"/>
  <c r="J44" i="33"/>
  <c r="AC44" i="33" s="1"/>
  <c r="F44" i="33"/>
  <c r="S44" i="33"/>
  <c r="J46" i="33"/>
  <c r="AC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AA45" i="34" s="1"/>
  <c r="H47" i="34"/>
  <c r="U47" i="34"/>
  <c r="F47" i="34"/>
  <c r="AA47" i="34" s="1"/>
  <c r="J47" i="34"/>
  <c r="AC47" i="34"/>
  <c r="F13" i="35"/>
  <c r="S13" i="35" s="1"/>
  <c r="J13" i="35"/>
  <c r="AC13" i="35" s="1"/>
  <c r="H13" i="35"/>
  <c r="U13" i="35" s="1"/>
  <c r="J25" i="35"/>
  <c r="AC25" i="35"/>
  <c r="F25" i="35"/>
  <c r="AA25" i="35" s="1"/>
  <c r="H25" i="35"/>
  <c r="AB25" i="35" s="1"/>
  <c r="J35" i="35"/>
  <c r="AC35" i="35" s="1"/>
  <c r="F35" i="35"/>
  <c r="S35" i="35" s="1"/>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S38" i="37" s="1"/>
  <c r="F14" i="37"/>
  <c r="AA14" i="37"/>
  <c r="F27" i="37"/>
  <c r="AA27" i="37" s="1"/>
  <c r="J14" i="37"/>
  <c r="W14" i="37"/>
  <c r="J27" i="37"/>
  <c r="W27" i="37" s="1"/>
  <c r="AB13" i="35"/>
  <c r="W46" i="33"/>
  <c r="U30" i="33"/>
  <c r="AB40" i="37"/>
  <c r="J36" i="37"/>
  <c r="AC36" i="37"/>
  <c r="AB31" i="21"/>
  <c r="AB13" i="21"/>
  <c r="U46" i="21"/>
  <c r="W30" i="21"/>
  <c r="AB30" i="21"/>
  <c r="AA28" i="21"/>
  <c r="AB14" i="21"/>
  <c r="W14" i="21"/>
  <c r="AC14" i="21"/>
  <c r="W31" i="34"/>
  <c r="S46" i="33"/>
  <c r="U36" i="37"/>
  <c r="AC13" i="36"/>
  <c r="AB45" i="33"/>
  <c r="AA27" i="33"/>
  <c r="AB27" i="33"/>
  <c r="S45"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G566" i="3"/>
  <c r="G562" i="3"/>
  <c r="G560" i="3"/>
  <c r="G558" i="3"/>
  <c r="G556" i="3"/>
  <c r="G554" i="3"/>
  <c r="G550" i="3"/>
  <c r="G546" i="3"/>
  <c r="BL543" i="3"/>
  <c r="AZ543" i="3"/>
  <c r="BA542" i="3"/>
  <c r="AZ542" i="3" s="1"/>
  <c r="AC542" i="3"/>
  <c r="G542" i="3"/>
  <c r="BQ542" i="3"/>
  <c r="BL542" i="3" s="1"/>
  <c r="BQ568" i="3"/>
  <c r="BQ566" i="3"/>
  <c r="BQ564" i="3"/>
  <c r="BL564" i="3" s="1"/>
  <c r="BQ562" i="3"/>
  <c r="BL562" i="3"/>
  <c r="AZ562" i="3" s="1"/>
  <c r="BQ560" i="3"/>
  <c r="BL560" i="3"/>
  <c r="BQ558" i="3"/>
  <c r="BL558" i="3" s="1"/>
  <c r="AZ558" i="3" s="1"/>
  <c r="BQ556" i="3"/>
  <c r="BL556" i="3"/>
  <c r="AZ556" i="3"/>
  <c r="BQ554" i="3"/>
  <c r="BQ552" i="3"/>
  <c r="BL552" i="3"/>
  <c r="BQ550" i="3"/>
  <c r="BL550" i="3" s="1"/>
  <c r="AZ550" i="3" s="1"/>
  <c r="BQ548" i="3"/>
  <c r="BQ546" i="3"/>
  <c r="BL546" i="3"/>
  <c r="BQ544" i="3"/>
  <c r="BL544" i="3" s="1"/>
  <c r="AZ544" i="3" s="1"/>
  <c r="G544" i="3"/>
  <c r="G538" i="3"/>
  <c r="G534" i="3"/>
  <c r="G530" i="3"/>
  <c r="G526" i="3"/>
  <c r="G522" i="3"/>
  <c r="BQ540" i="3"/>
  <c r="BL540" i="3"/>
  <c r="BQ538" i="3"/>
  <c r="BL538" i="3" s="1"/>
  <c r="BQ536" i="3"/>
  <c r="BQ534" i="3"/>
  <c r="BL534" i="3"/>
  <c r="BQ532" i="3"/>
  <c r="BL532" i="3" s="1"/>
  <c r="AZ532" i="3" s="1"/>
  <c r="BQ530" i="3"/>
  <c r="BQ528" i="3"/>
  <c r="BQ526" i="3"/>
  <c r="BL526" i="3" s="1"/>
  <c r="AZ526" i="3" s="1"/>
  <c r="BQ524" i="3"/>
  <c r="BL524" i="3"/>
  <c r="BQ522" i="3"/>
  <c r="BQ520" i="3"/>
  <c r="BL520" i="3"/>
  <c r="BQ518" i="3"/>
  <c r="BQ516" i="3"/>
  <c r="BL516" i="3" s="1"/>
  <c r="AZ516" i="3" s="1"/>
  <c r="BQ514" i="3"/>
  <c r="BL514" i="3"/>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AZ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c r="H43" i="33"/>
  <c r="U43" i="33" s="1"/>
  <c r="H17" i="37"/>
  <c r="U17" i="37"/>
  <c r="F23" i="37"/>
  <c r="S23" i="37" s="1"/>
  <c r="F79" i="37"/>
  <c r="AB27" i="37"/>
  <c r="F39" i="33"/>
  <c r="AA39" i="33" s="1"/>
  <c r="E123" i="33"/>
  <c r="F42" i="33"/>
  <c r="AA42" i="33" s="1"/>
  <c r="H28" i="34"/>
  <c r="AB28" i="34"/>
  <c r="F22" i="36"/>
  <c r="S22" i="36" s="1"/>
  <c r="H35" i="34"/>
  <c r="U35" i="34"/>
  <c r="F41" i="34"/>
  <c r="S41" i="34" s="1"/>
  <c r="H41" i="34"/>
  <c r="U41" i="34"/>
  <c r="J41" i="34"/>
  <c r="W41" i="34" s="1"/>
  <c r="F10" i="35"/>
  <c r="AA10" i="35" s="1"/>
  <c r="F24" i="35"/>
  <c r="AA24" i="35"/>
  <c r="H24" i="35"/>
  <c r="AB24" i="35" s="1"/>
  <c r="H23" i="37"/>
  <c r="AB23" i="37"/>
  <c r="J32" i="37"/>
  <c r="AC32" i="37" s="1"/>
  <c r="F36" i="37"/>
  <c r="S36" i="37"/>
  <c r="F37" i="37"/>
  <c r="AA37" i="37" s="1"/>
  <c r="U23" i="37"/>
  <c r="F123" i="33"/>
  <c r="G123" i="33" s="1"/>
  <c r="H123" i="33" s="1"/>
  <c r="I123" i="33" s="1"/>
  <c r="J123" i="33" s="1"/>
  <c r="K123" i="33" s="1"/>
  <c r="L123" i="33" s="1"/>
  <c r="M123" i="33" s="1"/>
  <c r="H42" i="33"/>
  <c r="U42" i="33" s="1"/>
  <c r="J43" i="33"/>
  <c r="AC43" i="33"/>
  <c r="G79" i="37"/>
  <c r="J23" i="37"/>
  <c r="W23" i="37" s="1"/>
  <c r="F17" i="37"/>
  <c r="AA17" i="37"/>
  <c r="AB43" i="33"/>
  <c r="AC33" i="36"/>
  <c r="AC12" i="35"/>
  <c r="W23" i="35"/>
  <c r="AC23" i="37"/>
  <c r="U39" i="37"/>
  <c r="AC8" i="37"/>
  <c r="S25" i="37"/>
  <c r="AC36" i="34"/>
  <c r="AB8" i="34"/>
  <c r="AC37" i="33"/>
  <c r="AA13" i="33"/>
  <c r="S39" i="33"/>
  <c r="F43" i="33"/>
  <c r="AA43" i="33" s="1"/>
  <c r="AB44" i="33"/>
  <c r="G107" i="37"/>
  <c r="H107" i="37" s="1"/>
  <c r="I107" i="37" s="1"/>
  <c r="J107" i="37" s="1"/>
  <c r="K107" i="37" s="1"/>
  <c r="L107" i="37" s="1"/>
  <c r="M107" i="37" s="1"/>
  <c r="H19" i="34"/>
  <c r="AB19" i="34" s="1"/>
  <c r="J10" i="37"/>
  <c r="W10" i="37"/>
  <c r="F36" i="35"/>
  <c r="S36" i="35" s="1"/>
  <c r="J9" i="37"/>
  <c r="W9" i="37" s="1"/>
  <c r="H9" i="37"/>
  <c r="U9" i="37"/>
  <c r="F9" i="37"/>
  <c r="S9" i="37" s="1"/>
  <c r="F11" i="37"/>
  <c r="S11" i="37"/>
  <c r="J12" i="37"/>
  <c r="AC12" i="37" s="1"/>
  <c r="H12" i="37"/>
  <c r="AB12" i="37"/>
  <c r="F12" i="37"/>
  <c r="AA12" i="37" s="1"/>
  <c r="H15" i="37"/>
  <c r="U15" i="37"/>
  <c r="E94" i="37"/>
  <c r="F31" i="37"/>
  <c r="S31" i="37"/>
  <c r="F94" i="37"/>
  <c r="G94" i="37" s="1"/>
  <c r="H94" i="37" s="1"/>
  <c r="I94" i="37" s="1"/>
  <c r="J94" i="37" s="1"/>
  <c r="K94" i="37" s="1"/>
  <c r="L94" i="37" s="1"/>
  <c r="M94" i="37" s="1"/>
  <c r="H31" i="37"/>
  <c r="AB31" i="37" s="1"/>
  <c r="J15" i="37"/>
  <c r="W15" i="37"/>
  <c r="U12" i="37"/>
  <c r="AB10" i="37"/>
  <c r="J11" i="37"/>
  <c r="W11" i="37"/>
  <c r="U31" i="37"/>
  <c r="E90" i="40"/>
  <c r="F21" i="40"/>
  <c r="S21" i="40"/>
  <c r="W36" i="40"/>
  <c r="F90" i="40"/>
  <c r="J21" i="40"/>
  <c r="AC21" i="40" s="1"/>
  <c r="G90" i="40"/>
  <c r="S27" i="31"/>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AZ300" i="3" s="1"/>
  <c r="BA302" i="3"/>
  <c r="AZ302" i="3"/>
  <c r="BA303" i="3"/>
  <c r="AZ303" i="3" s="1"/>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BL115" i="3"/>
  <c r="AZ115" i="3"/>
  <c r="G116" i="3"/>
  <c r="BA118" i="3"/>
  <c r="AZ118" i="3" s="1"/>
  <c r="BL119" i="3"/>
  <c r="AZ119" i="3" s="1"/>
  <c r="G120" i="3"/>
  <c r="BA122" i="3"/>
  <c r="AZ122" i="3"/>
  <c r="BL123" i="3"/>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7" i="3"/>
  <c r="AZ375" i="3"/>
  <c r="AZ383" i="3"/>
  <c r="AZ270" i="3"/>
  <c r="AZ274" i="3"/>
  <c r="AZ278"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71" i="3"/>
  <c r="AZ475" i="3"/>
  <c r="AZ479" i="3"/>
  <c r="H7" i="48"/>
  <c r="H113" i="46"/>
  <c r="F33" i="46"/>
  <c r="F37" i="46"/>
  <c r="H16" i="48"/>
  <c r="H9" i="48"/>
  <c r="H8" i="48"/>
  <c r="C12" i="46"/>
  <c r="AB15" i="37"/>
  <c r="AA43" i="21"/>
  <c r="AA13" i="40"/>
  <c r="E78" i="40"/>
  <c r="F78" i="40"/>
  <c r="G78" i="40" s="1"/>
  <c r="H78" i="40" s="1"/>
  <c r="I78" i="40" s="1"/>
  <c r="J78" i="40" s="1"/>
  <c r="K78" i="40" s="1"/>
  <c r="L78" i="40" s="1"/>
  <c r="M78" i="40" s="1"/>
  <c r="BH5" i="3"/>
  <c r="R16" i="4"/>
  <c r="P16" i="4"/>
  <c r="G4" i="4"/>
  <c r="S37" i="34"/>
  <c r="AC26" i="36"/>
  <c r="W25" i="35"/>
  <c r="AZ354" i="3"/>
  <c r="H11" i="37"/>
  <c r="AB11" i="37"/>
  <c r="W37" i="37"/>
  <c r="AA30" i="33"/>
  <c r="AA36" i="37"/>
  <c r="S42" i="33"/>
  <c r="U32" i="33"/>
  <c r="AB17" i="37"/>
  <c r="AZ524" i="3"/>
  <c r="AZ546" i="3"/>
  <c r="AC29" i="33"/>
  <c r="AA45" i="33"/>
  <c r="AC11" i="36"/>
  <c r="AC10" i="36"/>
  <c r="AB45" i="34"/>
  <c r="AC14" i="37"/>
  <c r="AB35" i="35"/>
  <c r="S25" i="35"/>
  <c r="W44" i="33"/>
  <c r="AC30" i="33"/>
  <c r="W30" i="33"/>
  <c r="AC29" i="37"/>
  <c r="W32" i="36"/>
  <c r="AC32" i="36"/>
  <c r="U28" i="33"/>
  <c r="AB28" i="33"/>
  <c r="J33" i="34"/>
  <c r="AC33" i="34"/>
  <c r="AB36" i="34"/>
  <c r="J40" i="34"/>
  <c r="W40" i="34" s="1"/>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s="1"/>
  <c r="F32" i="33"/>
  <c r="AA32" i="33"/>
  <c r="J32" i="33"/>
  <c r="AC32" i="33" s="1"/>
  <c r="F35" i="33"/>
  <c r="AA35" i="33"/>
  <c r="AB39" i="34"/>
  <c r="F11" i="34"/>
  <c r="S11" i="34"/>
  <c r="E80" i="34"/>
  <c r="F80" i="34" s="1"/>
  <c r="H17" i="34"/>
  <c r="AB17" i="34"/>
  <c r="AC27" i="34"/>
  <c r="W27" i="34"/>
  <c r="S12"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F96" i="37"/>
  <c r="H32" i="37"/>
  <c r="AB32" i="37"/>
  <c r="F19" i="39"/>
  <c r="S19" i="39" s="1"/>
  <c r="H19" i="39"/>
  <c r="U19" i="39" s="1"/>
  <c r="J19" i="39"/>
  <c r="W19" i="39" s="1"/>
  <c r="F99" i="37"/>
  <c r="AC27" i="37"/>
  <c r="U25" i="35"/>
  <c r="S45" i="34"/>
  <c r="U31" i="34"/>
  <c r="AC40" i="37"/>
  <c r="W40" i="37"/>
  <c r="W27" i="33"/>
  <c r="AC45" i="21"/>
  <c r="S28" i="33"/>
  <c r="S14" i="21"/>
  <c r="AA44" i="34"/>
  <c r="AC19" i="33"/>
  <c r="W19" i="33"/>
  <c r="U43" i="34"/>
  <c r="AB43" i="34"/>
  <c r="AC34" i="37"/>
  <c r="S35" i="37"/>
  <c r="AA35" i="37"/>
  <c r="S32" i="21"/>
  <c r="BL571" i="3"/>
  <c r="BA571" i="3"/>
  <c r="AZ571" i="3" s="1"/>
  <c r="BL570" i="3"/>
  <c r="BE5" i="3"/>
  <c r="AB40" i="33"/>
  <c r="U40" i="33"/>
  <c r="AA35" i="34"/>
  <c r="S35" i="34"/>
  <c r="E90" i="34"/>
  <c r="H27" i="34"/>
  <c r="AB27" i="34"/>
  <c r="AB8" i="35"/>
  <c r="U8"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H17" i="39"/>
  <c r="U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H29" i="39" s="1"/>
  <c r="U29" i="39" s="1"/>
  <c r="F34" i="39"/>
  <c r="AA34" i="39"/>
  <c r="H34" i="39"/>
  <c r="AB34" i="39" s="1"/>
  <c r="J34" i="39"/>
  <c r="AC34" i="39"/>
  <c r="F39" i="39"/>
  <c r="H39" i="39"/>
  <c r="AB39" i="39" s="1"/>
  <c r="J39" i="39"/>
  <c r="AC39" i="39"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BA522" i="3"/>
  <c r="AZ522" i="3"/>
  <c r="BL521" i="3"/>
  <c r="AZ521" i="3" s="1"/>
  <c r="BA519" i="3"/>
  <c r="AZ519" i="3"/>
  <c r="BL518" i="3"/>
  <c r="BA518" i="3"/>
  <c r="AZ518" i="3" s="1"/>
  <c r="BL517" i="3"/>
  <c r="BA517" i="3"/>
  <c r="AZ517" i="3" s="1"/>
  <c r="BL515" i="3"/>
  <c r="BA515" i="3"/>
  <c r="BA514" i="3"/>
  <c r="AZ514" i="3" s="1"/>
  <c r="BL513" i="3"/>
  <c r="BA513" i="3"/>
  <c r="AZ513" i="3"/>
  <c r="BL512" i="3"/>
  <c r="AZ512" i="3" s="1"/>
  <c r="BA511" i="3"/>
  <c r="AZ511" i="3"/>
  <c r="BA510" i="3"/>
  <c r="AZ510" i="3" s="1"/>
  <c r="BL509" i="3"/>
  <c r="AZ509" i="3"/>
  <c r="BL507" i="3"/>
  <c r="BA507" i="3"/>
  <c r="AZ507" i="3"/>
  <c r="BL506" i="3"/>
  <c r="BA506" i="3"/>
  <c r="AZ506" i="3" s="1"/>
  <c r="BL505" i="3"/>
  <c r="AZ505" i="3"/>
  <c r="BL504" i="3"/>
  <c r="BA504" i="3"/>
  <c r="BA503" i="3"/>
  <c r="AZ503" i="3"/>
  <c r="BA500" i="3"/>
  <c r="AZ500" i="3" s="1"/>
  <c r="BL499" i="3"/>
  <c r="BA499" i="3"/>
  <c r="AZ499" i="3" s="1"/>
  <c r="BL498" i="3"/>
  <c r="AZ498" i="3"/>
  <c r="BL497" i="3"/>
  <c r="BA497" i="3"/>
  <c r="BL496" i="3"/>
  <c r="BA496" i="3"/>
  <c r="AZ496" i="3"/>
  <c r="BA495" i="3"/>
  <c r="AZ495" i="3" s="1"/>
  <c r="BL494" i="3"/>
  <c r="BA494" i="3"/>
  <c r="AZ494" i="3" s="1"/>
  <c r="G494" i="3"/>
  <c r="BA491" i="3"/>
  <c r="AZ491" i="3"/>
  <c r="BL490" i="3"/>
  <c r="BA490" i="3"/>
  <c r="AZ490" i="3"/>
  <c r="BL489" i="3"/>
  <c r="BA489" i="3"/>
  <c r="AZ489" i="3" s="1"/>
  <c r="BL487" i="3"/>
  <c r="AZ487" i="3"/>
  <c r="BL486" i="3"/>
  <c r="BA486" i="3"/>
  <c r="BA485" i="3"/>
  <c r="AZ485" i="3"/>
  <c r="BA483" i="3"/>
  <c r="AZ483" i="3" s="1"/>
  <c r="BA482" i="3"/>
  <c r="BL481" i="3"/>
  <c r="BJ5" i="3"/>
  <c r="BA481" i="3"/>
  <c r="AZ481" i="3"/>
  <c r="BB5" i="3"/>
  <c r="BL19" i="3"/>
  <c r="AZ19" i="3"/>
  <c r="BA18" i="3"/>
  <c r="F36" i="44"/>
  <c r="F114" i="34"/>
  <c r="G114" i="34"/>
  <c r="H114" i="34"/>
  <c r="I114" i="34" s="1"/>
  <c r="J114" i="34" s="1"/>
  <c r="K114" i="34" s="1"/>
  <c r="L114" i="34" s="1"/>
  <c r="M114" i="34" s="1"/>
  <c r="H38" i="34"/>
  <c r="U38" i="34"/>
  <c r="H30" i="40"/>
  <c r="AB30" i="40" s="1"/>
  <c r="G100" i="40"/>
  <c r="J30" i="40"/>
  <c r="AC30" i="40"/>
  <c r="F38" i="40"/>
  <c r="AA38" i="40" s="1"/>
  <c r="AA36" i="34"/>
  <c r="AC12" i="21"/>
  <c r="W12" i="21"/>
  <c r="AB10" i="21"/>
  <c r="U8" i="21"/>
  <c r="AB8" i="33"/>
  <c r="U8" i="33"/>
  <c r="E106" i="33"/>
  <c r="H34" i="33"/>
  <c r="U34" i="33"/>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c r="J15" i="40"/>
  <c r="H15" i="40"/>
  <c r="AB15" i="40"/>
  <c r="E92" i="40"/>
  <c r="F92" i="40" s="1"/>
  <c r="H23" i="40"/>
  <c r="U23" i="40"/>
  <c r="H41" i="40"/>
  <c r="AB41" i="40" s="1"/>
  <c r="F41" i="40"/>
  <c r="AA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J33" i="40"/>
  <c r="AC33" i="40" s="1"/>
  <c r="H35" i="40"/>
  <c r="AB35" i="40" s="1"/>
  <c r="F35" i="40"/>
  <c r="AA35" i="40" s="1"/>
  <c r="J35" i="40"/>
  <c r="J38" i="39"/>
  <c r="W38" i="39" s="1"/>
  <c r="H38" i="39"/>
  <c r="U38" i="39" s="1"/>
  <c r="J16" i="40"/>
  <c r="J14" i="40"/>
  <c r="W14" i="40" s="1"/>
  <c r="H42" i="40"/>
  <c r="H40" i="40"/>
  <c r="U40" i="40"/>
  <c r="H34" i="40"/>
  <c r="U34" i="40"/>
  <c r="AZ391" i="3"/>
  <c r="AZ399" i="3"/>
  <c r="AZ403" i="3"/>
  <c r="AZ407" i="3"/>
  <c r="AZ415" i="3"/>
  <c r="AZ423" i="3"/>
  <c r="AZ431" i="3"/>
  <c r="AZ439"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69" i="3"/>
  <c r="AZ474" i="3"/>
  <c r="AZ477" i="3"/>
  <c r="AZ388" i="3"/>
  <c r="AZ207" i="3"/>
  <c r="AZ212" i="3"/>
  <c r="AZ215" i="3"/>
  <c r="AZ220" i="3"/>
  <c r="AZ228" i="3"/>
  <c r="AZ236" i="3"/>
  <c r="AZ239" i="3"/>
  <c r="AZ244" i="3"/>
  <c r="AZ247" i="3"/>
  <c r="AZ268" i="3"/>
  <c r="AZ273" i="3"/>
  <c r="AZ276" i="3"/>
  <c r="AZ281" i="3"/>
  <c r="AZ284" i="3"/>
  <c r="AZ289" i="3"/>
  <c r="AZ292" i="3"/>
  <c r="AZ137" i="3"/>
  <c r="AZ140" i="3"/>
  <c r="AZ152" i="3"/>
  <c r="M7" i="46"/>
  <c r="M11" i="46"/>
  <c r="N3" i="46"/>
  <c r="N6" i="46"/>
  <c r="N10" i="46"/>
  <c r="F69" i="46" s="1"/>
  <c r="H71" i="46" s="1"/>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AC47" i="39"/>
  <c r="U37" i="34"/>
  <c r="AB37" i="34"/>
  <c r="W41" i="40"/>
  <c r="J23" i="40"/>
  <c r="AC23" i="40" s="1"/>
  <c r="G92" i="40"/>
  <c r="F23" i="40"/>
  <c r="S23" i="40"/>
  <c r="AC15" i="40"/>
  <c r="W15" i="40"/>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c r="L100" i="40" s="1"/>
  <c r="M100" i="40" s="1"/>
  <c r="AB38" i="34"/>
  <c r="AZ486" i="3"/>
  <c r="AZ497" i="3"/>
  <c r="AZ504" i="3"/>
  <c r="AZ515" i="3"/>
  <c r="AZ529" i="3"/>
  <c r="AZ530" i="3"/>
  <c r="AZ537" i="3"/>
  <c r="AZ547" i="3"/>
  <c r="AZ548" i="3"/>
  <c r="AZ549" i="3"/>
  <c r="AB37" i="39"/>
  <c r="U39" i="39"/>
  <c r="J29" i="39"/>
  <c r="AC29" i="39" s="1"/>
  <c r="AB33" i="36"/>
  <c r="AA11" i="36"/>
  <c r="G99" i="37"/>
  <c r="F33" i="37"/>
  <c r="AB19" i="39"/>
  <c r="U46" i="34"/>
  <c r="AC30" i="34"/>
  <c r="AA14" i="34"/>
  <c r="W12" i="34"/>
  <c r="U29" i="33"/>
  <c r="AC13" i="33"/>
  <c r="U17" i="34"/>
  <c r="AA11" i="34"/>
  <c r="W32" i="33"/>
  <c r="H15" i="33"/>
  <c r="U15" i="33"/>
  <c r="AA11" i="33"/>
  <c r="U16" i="40"/>
  <c r="W34" i="40"/>
  <c r="AB34" i="40"/>
  <c r="W32" i="40"/>
  <c r="H25" i="40"/>
  <c r="AB25" i="40" s="1"/>
  <c r="F94" i="40"/>
  <c r="G94" i="40"/>
  <c r="U47" i="39"/>
  <c r="J37" i="34"/>
  <c r="AC37" i="34" s="1"/>
  <c r="J36" i="33"/>
  <c r="W36" i="33" s="1"/>
  <c r="S41" i="40"/>
  <c r="AB23" i="40"/>
  <c r="H23" i="39"/>
  <c r="AB23" i="39" s="1"/>
  <c r="J23" i="39"/>
  <c r="AC23" i="39" s="1"/>
  <c r="F97" i="39"/>
  <c r="G97" i="39" s="1"/>
  <c r="AA15" i="34"/>
  <c r="AA41" i="33"/>
  <c r="AA34" i="33"/>
  <c r="F106" i="33"/>
  <c r="G106" i="33"/>
  <c r="H106" i="33" s="1"/>
  <c r="I106" i="33" s="1"/>
  <c r="J106" i="33" s="1"/>
  <c r="K106" i="33"/>
  <c r="L106" i="33" s="1"/>
  <c r="M106" i="33" s="1"/>
  <c r="J34" i="33"/>
  <c r="AC34" i="33"/>
  <c r="U30" i="40"/>
  <c r="AA37" i="39"/>
  <c r="W39" i="39"/>
  <c r="AA39" i="39"/>
  <c r="S39" i="39"/>
  <c r="U34" i="39"/>
  <c r="AB46" i="39"/>
  <c r="AC33" i="39"/>
  <c r="AA33" i="39"/>
  <c r="S33" i="39"/>
  <c r="U11" i="36"/>
  <c r="F80" i="35"/>
  <c r="G80" i="35" s="1"/>
  <c r="H80" i="35" s="1"/>
  <c r="I80" i="35" s="1"/>
  <c r="J80" i="35" s="1"/>
  <c r="K80" i="35" s="1"/>
  <c r="L80" i="35" s="1"/>
  <c r="M80" i="35" s="1"/>
  <c r="F90" i="34"/>
  <c r="G90" i="34" s="1"/>
  <c r="H90" i="34" s="1"/>
  <c r="I90" i="34"/>
  <c r="J90" i="34"/>
  <c r="K90" i="34" s="1"/>
  <c r="L90" i="34" s="1"/>
  <c r="M90" i="34"/>
  <c r="F27" i="34"/>
  <c r="S27" i="34" s="1"/>
  <c r="G96" i="37"/>
  <c r="H96" i="37"/>
  <c r="I96" i="37"/>
  <c r="J96" i="37" s="1"/>
  <c r="K96" i="37" s="1"/>
  <c r="L96" i="37" s="1"/>
  <c r="M96" i="37" s="1"/>
  <c r="F32" i="37"/>
  <c r="S32" i="37" s="1"/>
  <c r="U11" i="35"/>
  <c r="AB11" i="35"/>
  <c r="S46" i="34"/>
  <c r="U32" i="34"/>
  <c r="U14" i="34"/>
  <c r="AC14" i="34"/>
  <c r="U12" i="34"/>
  <c r="AB13" i="33"/>
  <c r="G80" i="34"/>
  <c r="F17" i="34"/>
  <c r="J17" i="34"/>
  <c r="AC17" i="34"/>
  <c r="H11" i="34"/>
  <c r="AB11" i="34" s="1"/>
  <c r="J35" i="33"/>
  <c r="W35" i="33" s="1"/>
  <c r="S32" i="33"/>
  <c r="AC15" i="33"/>
  <c r="H11" i="33"/>
  <c r="U11" i="33" s="1"/>
  <c r="H10" i="33"/>
  <c r="U10" i="33" s="1"/>
  <c r="I66" i="33"/>
  <c r="J10" i="33"/>
  <c r="AC10" i="33" s="1"/>
  <c r="U11" i="37"/>
  <c r="AC13" i="40"/>
  <c r="J11" i="34"/>
  <c r="W11" i="34" s="1"/>
  <c r="AC36" i="33"/>
  <c r="F25" i="40"/>
  <c r="AA25" i="40" s="1"/>
  <c r="J11" i="33"/>
  <c r="W11" i="33"/>
  <c r="H33" i="37"/>
  <c r="AB33" i="37" s="1"/>
  <c r="W23" i="40"/>
  <c r="AP11" i="1"/>
  <c r="B11" i="1"/>
  <c r="E11" i="1"/>
  <c r="K11" i="1"/>
  <c r="M11" i="1" s="1"/>
  <c r="B9" i="1"/>
  <c r="E9" i="1" s="1"/>
  <c r="K9" i="1"/>
  <c r="M9" i="1" s="1"/>
  <c r="B7" i="1"/>
  <c r="E7" i="1" s="1"/>
  <c r="C20" i="43"/>
  <c r="F6" i="1"/>
  <c r="G11" i="1"/>
  <c r="M22" i="44"/>
  <c r="F32" i="15"/>
  <c r="F59" i="15" s="1"/>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AB12" i="36"/>
  <c r="S33" i="36"/>
  <c r="AA27" i="36"/>
  <c r="S16" i="36"/>
  <c r="S29" i="36"/>
  <c r="AA13" i="35"/>
  <c r="S8" i="35"/>
  <c r="U33" i="35"/>
  <c r="S23" i="35"/>
  <c r="AC10" i="35"/>
  <c r="W13" i="35"/>
  <c r="AC18" i="35"/>
  <c r="W18" i="35"/>
  <c r="S30" i="35"/>
  <c r="AA35" i="35"/>
  <c r="AB30" i="35"/>
  <c r="S27" i="35"/>
  <c r="S28" i="35"/>
  <c r="AB9" i="37"/>
  <c r="W12" i="37"/>
  <c r="AA9" i="37"/>
  <c r="S17" i="37"/>
  <c r="W28" i="37"/>
  <c r="AB37" i="37"/>
  <c r="AA31" i="37"/>
  <c r="S33" i="37"/>
  <c r="AA33" i="37"/>
  <c r="U32" i="37"/>
  <c r="AA32" i="37"/>
  <c r="J33" i="37"/>
  <c r="W33" i="37"/>
  <c r="H99" i="37"/>
  <c r="I99" i="37"/>
  <c r="J99" i="37"/>
  <c r="K99" i="37"/>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AA17" i="21"/>
  <c r="F15" i="21"/>
  <c r="S15" i="21" s="1"/>
  <c r="H15" i="21"/>
  <c r="AB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C19" i="39"/>
  <c r="AC38" i="39"/>
  <c r="AC21" i="39"/>
  <c r="S14" i="39"/>
  <c r="U11" i="39"/>
  <c r="U41" i="39"/>
  <c r="AB38" i="39"/>
  <c r="U31" i="39"/>
  <c r="AB31" i="39"/>
  <c r="S22" i="31"/>
  <c r="M20" i="15"/>
  <c r="D96" i="9"/>
  <c r="F28" i="15"/>
  <c r="M18" i="15"/>
  <c r="BA16" i="3"/>
  <c r="BA17" i="3"/>
  <c r="AZ17" i="3"/>
  <c r="F3" i="35"/>
  <c r="K1" i="43"/>
  <c r="K1" i="12"/>
  <c r="G1" i="44"/>
  <c r="I4" i="6"/>
  <c r="G3" i="46" s="1"/>
  <c r="AZ15" i="3"/>
  <c r="BK5" i="3"/>
  <c r="BO5" i="3"/>
  <c r="BP5" i="3"/>
  <c r="BN5" i="3"/>
  <c r="BL18" i="3"/>
  <c r="AZ18" i="3"/>
  <c r="BC5" i="3"/>
  <c r="E8" i="6" s="1"/>
  <c r="BR5" i="3"/>
  <c r="BS5" i="3"/>
  <c r="BQ5" i="3"/>
  <c r="BL16" i="3"/>
  <c r="BM5" i="3"/>
  <c r="BA13" i="3"/>
  <c r="AZ13"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B6" i="63"/>
  <c r="B46" i="50"/>
  <c r="B4" i="63" s="1"/>
  <c r="C46" i="36"/>
  <c r="C59" i="34"/>
  <c r="C48" i="35"/>
  <c r="D48" i="35" s="1"/>
  <c r="C52" i="37"/>
  <c r="D52" i="37" s="1"/>
  <c r="D65" i="40"/>
  <c r="E65" i="40" s="1"/>
  <c r="O19" i="46"/>
  <c r="H86" i="46"/>
  <c r="H82" i="46"/>
  <c r="H10" i="48"/>
  <c r="H87" i="46"/>
  <c r="H85" i="46"/>
  <c r="H83" i="46"/>
  <c r="K10" i="1"/>
  <c r="M10" i="1" s="1"/>
  <c r="O10" i="1" s="1"/>
  <c r="P10" i="1" s="1"/>
  <c r="S11" i="1"/>
  <c r="R11" i="1"/>
  <c r="S13" i="1"/>
  <c r="R13" i="1"/>
  <c r="B6" i="1"/>
  <c r="E6" i="1" s="1"/>
  <c r="B10" i="1"/>
  <c r="E10" i="1" s="1"/>
  <c r="S10" i="1"/>
  <c r="B8" i="1"/>
  <c r="E8" i="1"/>
  <c r="B12" i="1"/>
  <c r="E12" i="1"/>
  <c r="S12" i="1"/>
  <c r="G1" i="15"/>
  <c r="F66" i="36"/>
  <c r="H18" i="36"/>
  <c r="U18" i="36" s="1"/>
  <c r="U16" i="36"/>
  <c r="S25" i="36"/>
  <c r="AA34" i="36"/>
  <c r="U23" i="36"/>
  <c r="AC27" i="36"/>
  <c r="W28" i="36"/>
  <c r="AA32" i="36"/>
  <c r="U13" i="36"/>
  <c r="AA22" i="36"/>
  <c r="U10" i="36"/>
  <c r="AA13" i="36"/>
  <c r="W29" i="36"/>
  <c r="W8" i="36"/>
  <c r="AC30" i="35"/>
  <c r="U24" i="35"/>
  <c r="S24" i="35"/>
  <c r="AA33"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AC27" i="21"/>
  <c r="G96" i="40"/>
  <c r="J27" i="40"/>
  <c r="W37" i="40"/>
  <c r="S17" i="40"/>
  <c r="W30" i="40"/>
  <c r="S34" i="40"/>
  <c r="U17" i="40"/>
  <c r="U38" i="40"/>
  <c r="S40" i="40"/>
  <c r="S42" i="40"/>
  <c r="J31" i="39"/>
  <c r="W31" i="39" s="1"/>
  <c r="S45" i="39"/>
  <c r="AB33" i="39"/>
  <c r="AC46" i="39"/>
  <c r="S34" i="39"/>
  <c r="W36" i="39"/>
  <c r="AC37" i="39"/>
  <c r="W16" i="39"/>
  <c r="W45" i="39"/>
  <c r="AA46" i="39"/>
  <c r="W34" i="39"/>
  <c r="W10" i="39"/>
  <c r="W11" i="39"/>
  <c r="S32" i="40"/>
  <c r="C27" i="39"/>
  <c r="C17" i="40"/>
  <c r="C19" i="40"/>
  <c r="C19" i="39"/>
  <c r="C21" i="39"/>
  <c r="C23" i="40"/>
  <c r="B48" i="46"/>
  <c r="B51" i="46"/>
  <c r="B55" i="46"/>
  <c r="B59" i="46"/>
  <c r="B62" i="46"/>
  <c r="B66" i="46"/>
  <c r="B53" i="46"/>
  <c r="B64" i="46"/>
  <c r="D24" i="15"/>
  <c r="F29" i="6"/>
  <c r="F28" i="6"/>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5" i="6"/>
  <c r="D21" i="12" s="1"/>
  <c r="C21" i="12" s="1"/>
  <c r="AT6" i="3"/>
  <c r="G29" i="6"/>
  <c r="AZ16" i="3"/>
  <c r="A9" i="64"/>
  <c r="A9" i="51"/>
  <c r="B9" i="63" s="1"/>
  <c r="G66" i="36"/>
  <c r="J18" i="36"/>
  <c r="W18" i="36" s="1"/>
  <c r="AE8" i="1"/>
  <c r="AE6" i="1"/>
  <c r="AG6" i="1"/>
  <c r="L20" i="6"/>
  <c r="E67" i="40"/>
  <c r="F65" i="40"/>
  <c r="F67" i="40" s="1"/>
  <c r="S9" i="1"/>
  <c r="R9" i="1"/>
  <c r="C45" i="9"/>
  <c r="H14" i="66" s="1"/>
  <c r="B7" i="66" s="1"/>
  <c r="O40" i="9"/>
  <c r="K31" i="9"/>
  <c r="K32" i="9" s="1"/>
  <c r="R7" i="54"/>
  <c r="B52" i="63" s="1"/>
  <c r="N76" i="9"/>
  <c r="E13" i="67"/>
  <c r="E14" i="67"/>
  <c r="F9" i="44"/>
  <c r="N5" i="65"/>
  <c r="B8" i="67"/>
  <c r="F43" i="44"/>
  <c r="M10" i="44"/>
  <c r="F10" i="44"/>
  <c r="F26" i="15"/>
  <c r="F8" i="67"/>
  <c r="F10" i="67"/>
  <c r="M26" i="44"/>
  <c r="M24" i="44"/>
  <c r="F40" i="15"/>
  <c r="F12" i="67"/>
  <c r="F42" i="15"/>
  <c r="N3" i="65"/>
  <c r="M28" i="15"/>
  <c r="F18" i="44"/>
  <c r="F37" i="44"/>
  <c r="F39" i="44"/>
  <c r="N7" i="65"/>
  <c r="E9" i="67"/>
  <c r="N6" i="65"/>
  <c r="E12" i="67"/>
  <c r="E8" i="67"/>
  <c r="F13" i="67"/>
  <c r="M28" i="44"/>
  <c r="E10" i="67"/>
  <c r="L48" i="44"/>
  <c r="M26" i="15"/>
  <c r="M8" i="44"/>
  <c r="F8" i="15"/>
  <c r="F8" i="44"/>
  <c r="E11" i="67"/>
  <c r="F11" i="67"/>
  <c r="B13" i="67"/>
  <c r="F28" i="44"/>
  <c r="B12" i="67"/>
  <c r="B10" i="67"/>
  <c r="M22" i="15"/>
  <c r="M27" i="15"/>
  <c r="M6" i="15"/>
  <c r="M11" i="44"/>
  <c r="F9" i="67"/>
  <c r="B14" i="67"/>
  <c r="N4" i="65"/>
  <c r="M31" i="44"/>
  <c r="F45" i="44"/>
  <c r="F11" i="44"/>
  <c r="M8" i="15"/>
  <c r="C19" i="44"/>
  <c r="F38" i="44"/>
  <c r="M29" i="44"/>
  <c r="M30" i="44"/>
  <c r="F46" i="44"/>
  <c r="M25" i="44"/>
  <c r="M23" i="15"/>
  <c r="B11" i="67"/>
  <c r="B9" i="67"/>
  <c r="F40" i="44"/>
  <c r="L49" i="44"/>
  <c r="F14" i="67"/>
  <c r="L47" i="15"/>
  <c r="J17" i="44"/>
  <c r="L48" i="15"/>
  <c r="F16" i="15"/>
  <c r="F15" i="44"/>
  <c r="M23" i="44"/>
  <c r="J15" i="21" l="1"/>
  <c r="AC15" i="21" s="1"/>
  <c r="J17" i="39"/>
  <c r="W17" i="39" s="1"/>
  <c r="F17" i="39"/>
  <c r="AA17" i="39" s="1"/>
  <c r="F103" i="39"/>
  <c r="G103" i="39" s="1"/>
  <c r="W31" i="35"/>
  <c r="AC18" i="36"/>
  <c r="AB18" i="36"/>
  <c r="E29" i="6"/>
  <c r="K15" i="1" s="1"/>
  <c r="AC20" i="36"/>
  <c r="AA17" i="34"/>
  <c r="S17" i="34"/>
  <c r="U32" i="40"/>
  <c r="AB32" i="40"/>
  <c r="AZ502" i="3"/>
  <c r="E69" i="46"/>
  <c r="B67" i="46" s="1"/>
  <c r="AP6" i="1"/>
  <c r="C12" i="39"/>
  <c r="AB42" i="40"/>
  <c r="U42" i="40"/>
  <c r="AC35" i="40"/>
  <c r="W35" i="40"/>
  <c r="AA33" i="40"/>
  <c r="S33" i="40"/>
  <c r="AZ492" i="3"/>
  <c r="AC15" i="34"/>
  <c r="W16" i="40"/>
  <c r="AC16" i="40"/>
  <c r="AA12" i="21"/>
  <c r="S12" i="21"/>
  <c r="F9" i="21"/>
  <c r="J9" i="21"/>
  <c r="AC9" i="21" s="1"/>
  <c r="AZ411" i="3"/>
  <c r="AZ417" i="3"/>
  <c r="AZ420" i="3"/>
  <c r="AZ437" i="3"/>
  <c r="AZ443" i="3"/>
  <c r="AC41" i="34"/>
  <c r="AC5" i="3"/>
  <c r="BF5" i="3"/>
  <c r="E84" i="35"/>
  <c r="F84" i="35" s="1"/>
  <c r="G84" i="35" s="1"/>
  <c r="H84" i="35" s="1"/>
  <c r="I84" i="35" s="1"/>
  <c r="J84" i="35" s="1"/>
  <c r="K84" i="35" s="1"/>
  <c r="L84" i="35" s="1"/>
  <c r="M84" i="35" s="1"/>
  <c r="H28" i="35"/>
  <c r="AB34" i="37"/>
  <c r="U34" i="37"/>
  <c r="G541" i="3"/>
  <c r="G524" i="3"/>
  <c r="G509" i="3"/>
  <c r="AZ412" i="3"/>
  <c r="AZ416" i="3"/>
  <c r="AZ421" i="3"/>
  <c r="AZ427" i="3"/>
  <c r="AZ435" i="3"/>
  <c r="AZ451" i="3"/>
  <c r="AZ453" i="3"/>
  <c r="F29" i="39"/>
  <c r="AA29" i="39" s="1"/>
  <c r="AA36" i="35"/>
  <c r="AA23" i="37"/>
  <c r="AC45" i="33"/>
  <c r="S27" i="37"/>
  <c r="AC28" i="33"/>
  <c r="AB31" i="33"/>
  <c r="AB28" i="36"/>
  <c r="AA38" i="37"/>
  <c r="W9" i="34"/>
  <c r="G572" i="3"/>
  <c r="H5" i="3"/>
  <c r="E125" i="21"/>
  <c r="F125" i="21" s="1"/>
  <c r="G125" i="21" s="1"/>
  <c r="H43" i="21"/>
  <c r="B73" i="46"/>
  <c r="C29" i="39"/>
  <c r="AB9" i="33"/>
  <c r="U9" i="33"/>
  <c r="AA33" i="33"/>
  <c r="S33" i="33"/>
  <c r="J26" i="33"/>
  <c r="F34" i="35"/>
  <c r="AC39" i="37"/>
  <c r="G553" i="3"/>
  <c r="AZ405" i="3"/>
  <c r="AZ409" i="3"/>
  <c r="U41" i="40"/>
  <c r="J34" i="35"/>
  <c r="H9" i="36"/>
  <c r="J9" i="36"/>
  <c r="F9" i="36"/>
  <c r="H24" i="36"/>
  <c r="J24" i="36"/>
  <c r="F24" i="36"/>
  <c r="G533" i="3"/>
  <c r="C18" i="9"/>
  <c r="BL464" i="3"/>
  <c r="AZ464" i="3" s="1"/>
  <c r="BL466" i="3"/>
  <c r="AZ466" i="3" s="1"/>
  <c r="S31" i="35"/>
  <c r="BT5" i="3"/>
  <c r="G28" i="6" s="1"/>
  <c r="BI5" i="3"/>
  <c r="J9" i="35"/>
  <c r="W9" i="35" s="1"/>
  <c r="AZ480" i="3"/>
  <c r="AZ386" i="3"/>
  <c r="AZ214" i="3"/>
  <c r="AZ222" i="3"/>
  <c r="BA454" i="3"/>
  <c r="AZ454" i="3" s="1"/>
  <c r="G457" i="3"/>
  <c r="BA459" i="3"/>
  <c r="AZ459" i="3" s="1"/>
  <c r="G462" i="3"/>
  <c r="BA465" i="3"/>
  <c r="AZ465" i="3" s="1"/>
  <c r="AZ384" i="3"/>
  <c r="AZ387" i="3"/>
  <c r="AZ248" i="3"/>
  <c r="AZ266" i="3"/>
  <c r="BL456" i="3"/>
  <c r="AZ456" i="3" s="1"/>
  <c r="BL458" i="3"/>
  <c r="AZ458" i="3" s="1"/>
  <c r="BL461" i="3"/>
  <c r="AZ461" i="3" s="1"/>
  <c r="BL463" i="3"/>
  <c r="AZ463" i="3" s="1"/>
  <c r="BA467" i="3"/>
  <c r="AZ467" i="3" s="1"/>
  <c r="G470" i="3"/>
  <c r="AZ350" i="3"/>
  <c r="AZ235" i="3"/>
  <c r="BL238" i="3"/>
  <c r="AZ238" i="3" s="1"/>
  <c r="BA240" i="3"/>
  <c r="AZ240" i="3" s="1"/>
  <c r="BA241" i="3"/>
  <c r="AZ241" i="3" s="1"/>
  <c r="BL250" i="3"/>
  <c r="AZ250" i="3" s="1"/>
  <c r="BA259" i="3"/>
  <c r="AZ259" i="3" s="1"/>
  <c r="BA260" i="3"/>
  <c r="AZ260" i="3" s="1"/>
  <c r="BA261" i="3"/>
  <c r="AZ261" i="3" s="1"/>
  <c r="BL263" i="3"/>
  <c r="AZ263" i="3" s="1"/>
  <c r="AZ272" i="3"/>
  <c r="AZ288" i="3"/>
  <c r="BL121" i="3"/>
  <c r="AZ121" i="3" s="1"/>
  <c r="BA123" i="3"/>
  <c r="AZ123" i="3" s="1"/>
  <c r="AZ218" i="3"/>
  <c r="AZ141" i="3"/>
  <c r="AZ168" i="3"/>
  <c r="AZ190" i="3"/>
  <c r="BA224" i="3"/>
  <c r="AZ224" i="3" s="1"/>
  <c r="BA227" i="3"/>
  <c r="AZ227" i="3" s="1"/>
  <c r="BL231" i="3"/>
  <c r="AZ231" i="3" s="1"/>
  <c r="BL234" i="3"/>
  <c r="AZ234" i="3" s="1"/>
  <c r="BL266" i="3"/>
  <c r="AZ279" i="3"/>
  <c r="AZ280" i="3"/>
  <c r="BA294" i="3"/>
  <c r="AZ294" i="3" s="1"/>
  <c r="AZ132" i="3"/>
  <c r="AZ133" i="3"/>
  <c r="AZ159" i="3"/>
  <c r="BA216" i="3"/>
  <c r="AZ216" i="3" s="1"/>
  <c r="BA219" i="3"/>
  <c r="AZ219" i="3" s="1"/>
  <c r="BL223" i="3"/>
  <c r="AZ223" i="3" s="1"/>
  <c r="BL226" i="3"/>
  <c r="AZ226" i="3" s="1"/>
  <c r="G230" i="3"/>
  <c r="G5" i="3" s="1"/>
  <c r="B3" i="3" s="1"/>
  <c r="BL242" i="3"/>
  <c r="AZ242" i="3" s="1"/>
  <c r="BA251" i="3"/>
  <c r="AZ251" i="3" s="1"/>
  <c r="BA252" i="3"/>
  <c r="AZ252" i="3" s="1"/>
  <c r="BA253" i="3"/>
  <c r="AZ253" i="3" s="1"/>
  <c r="BL255" i="3"/>
  <c r="AZ255" i="3" s="1"/>
  <c r="BL262" i="3"/>
  <c r="AZ262" i="3" s="1"/>
  <c r="BA264" i="3"/>
  <c r="AZ264" i="3" s="1"/>
  <c r="BA265" i="3"/>
  <c r="AZ265" i="3" s="1"/>
  <c r="BA275" i="3"/>
  <c r="AZ275" i="3" s="1"/>
  <c r="AZ277" i="3"/>
  <c r="BL280" i="3"/>
  <c r="BL282" i="3"/>
  <c r="AZ282" i="3" s="1"/>
  <c r="BA291" i="3"/>
  <c r="AZ291" i="3" s="1"/>
  <c r="AZ293" i="3"/>
  <c r="BL296" i="3"/>
  <c r="AZ296" i="3" s="1"/>
  <c r="BL114" i="3"/>
  <c r="AZ114" i="3" s="1"/>
  <c r="BA124" i="3"/>
  <c r="AZ124" i="3" s="1"/>
  <c r="AZ125" i="3"/>
  <c r="AZ128" i="3"/>
  <c r="BL133" i="3"/>
  <c r="BA135" i="3"/>
  <c r="AZ135" i="3" s="1"/>
  <c r="AZ149" i="3"/>
  <c r="AZ155" i="3"/>
  <c r="AZ163" i="3"/>
  <c r="AZ176" i="3"/>
  <c r="AZ186" i="3"/>
  <c r="AZ198" i="3"/>
  <c r="BL198" i="3"/>
  <c r="BA21" i="3"/>
  <c r="BL23" i="3"/>
  <c r="AZ23" i="3" s="1"/>
  <c r="BA25" i="3"/>
  <c r="AZ25" i="3" s="1"/>
  <c r="BA34" i="3"/>
  <c r="AZ34" i="3" s="1"/>
  <c r="AZ41" i="3"/>
  <c r="AZ49" i="3"/>
  <c r="AZ52" i="3"/>
  <c r="AZ62" i="3"/>
  <c r="AZ65" i="3"/>
  <c r="AZ68" i="3"/>
  <c r="AZ69" i="3"/>
  <c r="AZ83" i="3"/>
  <c r="BL204" i="3"/>
  <c r="AZ204" i="3" s="1"/>
  <c r="BL24" i="3"/>
  <c r="AZ24" i="3" s="1"/>
  <c r="BA28" i="3"/>
  <c r="AZ28" i="3" s="1"/>
  <c r="AZ29" i="3"/>
  <c r="BA31" i="3"/>
  <c r="AZ31" i="3" s="1"/>
  <c r="AZ33" i="3"/>
  <c r="BL36" i="3"/>
  <c r="AZ36" i="3" s="1"/>
  <c r="BL42" i="3"/>
  <c r="AZ42" i="3" s="1"/>
  <c r="AZ105" i="3"/>
  <c r="BA197" i="3"/>
  <c r="AZ197" i="3" s="1"/>
  <c r="AZ73" i="3"/>
  <c r="AZ76" i="3"/>
  <c r="AZ80" i="3"/>
  <c r="AZ87" i="3"/>
  <c r="AZ97" i="3"/>
  <c r="AZ108" i="3"/>
  <c r="AZ109" i="3"/>
  <c r="I21" i="57"/>
  <c r="D1" i="57" s="1"/>
  <c r="E10" i="57" s="1"/>
  <c r="C18" i="59"/>
  <c r="D17" i="59"/>
  <c r="B21" i="63"/>
  <c r="N4" i="63"/>
  <c r="G9" i="1"/>
  <c r="C29" i="59"/>
  <c r="D28" i="59"/>
  <c r="E52" i="59"/>
  <c r="P53" i="59"/>
  <c r="D16" i="59"/>
  <c r="AB14" i="59"/>
  <c r="Y13" i="59"/>
  <c r="Z13" i="59" s="1"/>
  <c r="AA14" i="59"/>
  <c r="X13" i="59"/>
  <c r="B17" i="59"/>
  <c r="B18" i="59" s="1"/>
  <c r="S18" i="59" s="1"/>
  <c r="AA18" i="59"/>
  <c r="E20" i="59"/>
  <c r="E21" i="59" s="1"/>
  <c r="E22" i="59" s="1"/>
  <c r="U22" i="59" s="1"/>
  <c r="AA19" i="59"/>
  <c r="E33" i="59"/>
  <c r="E34" i="59" s="1"/>
  <c r="U34" i="59" s="1"/>
  <c r="F61" i="59"/>
  <c r="F60" i="59" s="1"/>
  <c r="Y14" i="59"/>
  <c r="Z14" i="59" s="1"/>
  <c r="AG12" i="46"/>
  <c r="AG10" i="46"/>
  <c r="X23" i="59"/>
  <c r="AB19" i="59"/>
  <c r="AA16" i="59"/>
  <c r="U10" i="59"/>
  <c r="E9" i="59"/>
  <c r="E8" i="59" s="1"/>
  <c r="E7" i="59" s="1"/>
  <c r="E6" i="59" s="1"/>
  <c r="U14" i="59"/>
  <c r="AB10" i="59"/>
  <c r="AB8" i="59"/>
  <c r="AA8" i="59"/>
  <c r="AB13" i="59"/>
  <c r="Y3" i="59"/>
  <c r="Z3" i="59" s="1"/>
  <c r="AA12" i="59"/>
  <c r="X12" i="59"/>
  <c r="AB17" i="59"/>
  <c r="AB18" i="59"/>
  <c r="B20" i="59"/>
  <c r="B21" i="59" s="1"/>
  <c r="B22" i="59" s="1"/>
  <c r="S22" i="59" s="1"/>
  <c r="F20" i="59"/>
  <c r="F21" i="59" s="1"/>
  <c r="F22" i="59" s="1"/>
  <c r="V22" i="59" s="1"/>
  <c r="AA22" i="59"/>
  <c r="AA23" i="59"/>
  <c r="Y24" i="59"/>
  <c r="Z24" i="59" s="1"/>
  <c r="Q51" i="59"/>
  <c r="N54" i="59"/>
  <c r="Z12" i="46"/>
  <c r="Y19" i="59"/>
  <c r="Z19" i="59" s="1"/>
  <c r="B9" i="59"/>
  <c r="B8" i="59" s="1"/>
  <c r="S10" i="59"/>
  <c r="AA7" i="59"/>
  <c r="X6" i="59"/>
  <c r="B37" i="50"/>
  <c r="B2" i="63" s="1"/>
  <c r="C7" i="39"/>
  <c r="B74" i="46"/>
  <c r="S27" i="40"/>
  <c r="F31" i="39"/>
  <c r="AA31" i="39" s="1"/>
  <c r="AB3" i="59"/>
  <c r="F14" i="59"/>
  <c r="A28" i="64"/>
  <c r="AB15" i="59"/>
  <c r="F5" i="59"/>
  <c r="V6" i="59"/>
  <c r="X9" i="59"/>
  <c r="X3" i="59"/>
  <c r="AB11" i="59"/>
  <c r="Y11" i="59"/>
  <c r="Z11" i="59" s="1"/>
  <c r="AA13" i="59"/>
  <c r="AA15" i="59"/>
  <c r="Y16" i="59"/>
  <c r="Z16" i="59" s="1"/>
  <c r="Y17" i="59"/>
  <c r="Z17" i="59" s="1"/>
  <c r="X21" i="59"/>
  <c r="X22" i="59"/>
  <c r="X14" i="59"/>
  <c r="B14" i="59"/>
  <c r="C8" i="59"/>
  <c r="D8" i="59" s="1"/>
  <c r="D9" i="59"/>
  <c r="X20" i="59"/>
  <c r="Y15" i="59"/>
  <c r="Z15" i="59" s="1"/>
  <c r="C14" i="59"/>
  <c r="Y10" i="59"/>
  <c r="Z10" i="59" s="1"/>
  <c r="Y7" i="59"/>
  <c r="Z7" i="59" s="1"/>
  <c r="Y8" i="59"/>
  <c r="Z8" i="59" s="1"/>
  <c r="Y9" i="59"/>
  <c r="Z9" i="59" s="1"/>
  <c r="Y12" i="59"/>
  <c r="Z12" i="59" s="1"/>
  <c r="AA10" i="59"/>
  <c r="X8" i="59"/>
  <c r="Y5" i="59"/>
  <c r="Z5" i="59" s="1"/>
  <c r="AB5" i="59"/>
  <c r="P75" i="15"/>
  <c r="L76" i="9"/>
  <c r="AB9" i="59"/>
  <c r="AB6" i="59"/>
  <c r="AA5" i="59"/>
  <c r="J51" i="15"/>
  <c r="X7" i="59"/>
  <c r="AA6" i="59"/>
  <c r="X5" i="59"/>
  <c r="Y6" i="59"/>
  <c r="Z6" i="59" s="1"/>
  <c r="AB7" i="59"/>
  <c r="D3" i="35"/>
  <c r="K8" i="1"/>
  <c r="M8" i="1" s="1"/>
  <c r="O8" i="1" s="1"/>
  <c r="P8" i="1" s="1"/>
  <c r="E9" i="12"/>
  <c r="G27" i="6"/>
  <c r="D9" i="12"/>
  <c r="K7" i="1"/>
  <c r="C9" i="12"/>
  <c r="E32" i="6"/>
  <c r="L19" i="6" s="1"/>
  <c r="L27" i="6" s="1"/>
  <c r="D3" i="21"/>
  <c r="K6" i="1"/>
  <c r="Q16" i="1" s="1"/>
  <c r="F33" i="12" s="1"/>
  <c r="U32" i="35"/>
  <c r="I87" i="35"/>
  <c r="J87" i="35" s="1"/>
  <c r="K87" i="35" s="1"/>
  <c r="L87" i="35" s="1"/>
  <c r="M87" i="35" s="1"/>
  <c r="J29" i="35"/>
  <c r="AC29" i="35" s="1"/>
  <c r="H29" i="35"/>
  <c r="F29" i="35"/>
  <c r="F123" i="21"/>
  <c r="G123" i="21" s="1"/>
  <c r="H123" i="21" s="1"/>
  <c r="I123" i="21" s="1"/>
  <c r="J123" i="21" s="1"/>
  <c r="K123" i="21" s="1"/>
  <c r="L123" i="21" s="1"/>
  <c r="M123" i="21" s="1"/>
  <c r="H42" i="21"/>
  <c r="AB42" i="21" s="1"/>
  <c r="J42" i="21"/>
  <c r="AC42" i="21" s="1"/>
  <c r="F42" i="21"/>
  <c r="AA42" i="21" s="1"/>
  <c r="AC38" i="21"/>
  <c r="J37" i="21"/>
  <c r="H113" i="21"/>
  <c r="F37" i="21"/>
  <c r="H37" i="21"/>
  <c r="AB32" i="21"/>
  <c r="F19" i="21"/>
  <c r="AA19" i="21" s="1"/>
  <c r="J19" i="21"/>
  <c r="W19" i="21" s="1"/>
  <c r="F81" i="21"/>
  <c r="G81" i="21" s="1"/>
  <c r="H19" i="21"/>
  <c r="AB19" i="21" s="1"/>
  <c r="F69" i="21"/>
  <c r="F11" i="21" s="1"/>
  <c r="J11" i="21"/>
  <c r="U40" i="21"/>
  <c r="S46" i="21"/>
  <c r="U42" i="21"/>
  <c r="AA40" i="21"/>
  <c r="AC40" i="21"/>
  <c r="S38" i="21"/>
  <c r="AC36" i="21"/>
  <c r="AA36" i="21"/>
  <c r="W32" i="21"/>
  <c r="U39" i="21"/>
  <c r="U38" i="21"/>
  <c r="AB36" i="21"/>
  <c r="S35" i="21"/>
  <c r="U35" i="21"/>
  <c r="AC35" i="21"/>
  <c r="S34" i="21"/>
  <c r="AB34" i="21"/>
  <c r="W29" i="21"/>
  <c r="S27" i="21"/>
  <c r="U28" i="21"/>
  <c r="AC23" i="21"/>
  <c r="AB23" i="21"/>
  <c r="AA23" i="21"/>
  <c r="S21" i="21"/>
  <c r="W17" i="21"/>
  <c r="U17" i="21"/>
  <c r="U15" i="21"/>
  <c r="AA15" i="21"/>
  <c r="W15" i="21"/>
  <c r="W10" i="21"/>
  <c r="W9" i="21"/>
  <c r="U9" i="21"/>
  <c r="W8" i="21"/>
  <c r="S8" i="21"/>
  <c r="S29" i="39"/>
  <c r="W23" i="39"/>
  <c r="W29" i="35"/>
  <c r="AC33" i="35"/>
  <c r="W32" i="35"/>
  <c r="AB27" i="35"/>
  <c r="AC27" i="35"/>
  <c r="F26" i="35"/>
  <c r="J26" i="35"/>
  <c r="H26" i="35"/>
  <c r="W35" i="35"/>
  <c r="F18" i="35"/>
  <c r="AA18" i="35" s="1"/>
  <c r="H18" i="35"/>
  <c r="H16" i="35"/>
  <c r="U16" i="35" s="1"/>
  <c r="J16" i="35"/>
  <c r="F66" i="35"/>
  <c r="G66" i="35" s="1"/>
  <c r="F16" i="35"/>
  <c r="AA16" i="35" s="1"/>
  <c r="F14" i="35"/>
  <c r="AA14" i="35" s="1"/>
  <c r="F64" i="35"/>
  <c r="G64" i="35" s="1"/>
  <c r="J14" i="35"/>
  <c r="H14" i="35"/>
  <c r="U22" i="35"/>
  <c r="W20" i="35"/>
  <c r="AA20" i="35"/>
  <c r="AB20" i="35"/>
  <c r="S16" i="35"/>
  <c r="AB10" i="35"/>
  <c r="S10" i="35"/>
  <c r="AB9" i="35"/>
  <c r="U9" i="35"/>
  <c r="AC9" i="35"/>
  <c r="S9" i="35"/>
  <c r="M43" i="9"/>
  <c r="D18" i="9"/>
  <c r="M44" i="9" s="1"/>
  <c r="A30" i="51"/>
  <c r="B22" i="63" s="1"/>
  <c r="A30" i="64"/>
  <c r="G126" i="39"/>
  <c r="H126" i="39" s="1"/>
  <c r="I126" i="39" s="1"/>
  <c r="J126" i="39" s="1"/>
  <c r="K126" i="39" s="1"/>
  <c r="L126" i="39" s="1"/>
  <c r="M126" i="39" s="1"/>
  <c r="F43" i="39"/>
  <c r="J43" i="39"/>
  <c r="H43" i="39"/>
  <c r="J42" i="39"/>
  <c r="H42" i="39"/>
  <c r="F42" i="39"/>
  <c r="C17" i="39"/>
  <c r="D23" i="15"/>
  <c r="F30" i="6"/>
  <c r="E53" i="40"/>
  <c r="E58" i="39"/>
  <c r="F27" i="6"/>
  <c r="D12" i="11"/>
  <c r="C12" i="11" s="1"/>
  <c r="A18" i="64"/>
  <c r="B74" i="63" s="1"/>
  <c r="C53" i="10"/>
  <c r="A25" i="64" s="1"/>
  <c r="L5" i="54"/>
  <c r="B39" i="63" s="1"/>
  <c r="T41" i="4"/>
  <c r="A17" i="64" s="1"/>
  <c r="A18" i="51"/>
  <c r="B14" i="63" s="1"/>
  <c r="K5" i="54"/>
  <c r="A17" i="51"/>
  <c r="B13" i="63" s="1"/>
  <c r="A11" i="55"/>
  <c r="B62" i="63" s="1"/>
  <c r="A2" i="55"/>
  <c r="B55" i="63" s="1"/>
  <c r="N16" i="4"/>
  <c r="K17" i="4" s="1"/>
  <c r="A22" i="51" s="1"/>
  <c r="B16" i="63" s="1"/>
  <c r="K76" i="9"/>
  <c r="K77" i="9" s="1"/>
  <c r="K79" i="9" s="1"/>
  <c r="K81" i="9" s="1"/>
  <c r="D58" i="21"/>
  <c r="E58" i="21" s="1"/>
  <c r="F58" i="21" s="1"/>
  <c r="G58" i="21" s="1"/>
  <c r="H58" i="21" s="1"/>
  <c r="I58" i="21" s="1"/>
  <c r="J58" i="21" s="1"/>
  <c r="K58" i="21" s="1"/>
  <c r="L58" i="21" s="1"/>
  <c r="M58" i="21" s="1"/>
  <c r="N58" i="21" s="1"/>
  <c r="O58" i="21" s="1"/>
  <c r="F7" i="21"/>
  <c r="H7" i="21"/>
  <c r="D70" i="39"/>
  <c r="C72" i="39"/>
  <c r="D58" i="33"/>
  <c r="E58" i="33" s="1"/>
  <c r="F58" i="33" s="1"/>
  <c r="G58" i="33" s="1"/>
  <c r="H58" i="33" s="1"/>
  <c r="I58" i="33" s="1"/>
  <c r="J58" i="33" s="1"/>
  <c r="K58" i="33" s="1"/>
  <c r="L58" i="33" s="1"/>
  <c r="M58" i="33" s="1"/>
  <c r="N58" i="33" s="1"/>
  <c r="O58" i="33" s="1"/>
  <c r="D67" i="40"/>
  <c r="AA44" i="39"/>
  <c r="AC44" i="39"/>
  <c r="AB44" i="39"/>
  <c r="W41" i="39"/>
  <c r="S41" i="39"/>
  <c r="AB45" i="39"/>
  <c r="S47" i="39"/>
  <c r="AA38" i="39"/>
  <c r="S38" i="39"/>
  <c r="S31" i="39"/>
  <c r="AC31" i="39"/>
  <c r="W29" i="39"/>
  <c r="AB29" i="39"/>
  <c r="U27" i="39"/>
  <c r="S27" i="39"/>
  <c r="W27" i="39"/>
  <c r="AB25" i="39"/>
  <c r="W25" i="39"/>
  <c r="S25" i="39"/>
  <c r="U23" i="39"/>
  <c r="S23" i="39"/>
  <c r="U21" i="39"/>
  <c r="AA21" i="39"/>
  <c r="AA19" i="39"/>
  <c r="S17" i="39"/>
  <c r="AB17" i="39"/>
  <c r="W14" i="39"/>
  <c r="S15" i="39"/>
  <c r="U14" i="39"/>
  <c r="AB15" i="39"/>
  <c r="S16" i="39"/>
  <c r="W15" i="39"/>
  <c r="AB16" i="39"/>
  <c r="E14" i="52"/>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O11" i="1"/>
  <c r="P11" i="1" s="1"/>
  <c r="O13" i="1"/>
  <c r="P13" i="1" s="1"/>
  <c r="O9" i="1"/>
  <c r="P9" i="1" s="1"/>
  <c r="E14" i="6"/>
  <c r="E15" i="6"/>
  <c r="E13" i="6"/>
  <c r="E12" i="6"/>
  <c r="E10" i="6"/>
  <c r="E11" i="6"/>
  <c r="O12" i="1"/>
  <c r="P12" i="1" s="1"/>
  <c r="AP7" i="1"/>
  <c r="AP16" i="1" s="1"/>
  <c r="F22" i="11" s="1"/>
  <c r="G13" i="1"/>
  <c r="G65" i="40"/>
  <c r="E52" i="37"/>
  <c r="D46" i="36"/>
  <c r="E48" i="35"/>
  <c r="D59" i="34"/>
  <c r="G6" i="1"/>
  <c r="H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H62" i="46"/>
  <c r="AF12" i="46"/>
  <c r="K100" i="46"/>
  <c r="AB12" i="46"/>
  <c r="AJ12" i="46"/>
  <c r="F10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4" i="4" s="1"/>
  <c r="B21" i="55" s="1"/>
  <c r="B72" i="63" s="1"/>
  <c r="E6" i="52"/>
  <c r="E4" i="52"/>
  <c r="B7" i="52"/>
  <c r="E5" i="52"/>
  <c r="P21" i="46"/>
  <c r="B7" i="59"/>
  <c r="B6" i="59" s="1"/>
  <c r="S6" i="59" s="1"/>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3" i="44"/>
  <c r="L60" i="44"/>
  <c r="L59" i="44"/>
  <c r="C27" i="15"/>
  <c r="F50" i="15"/>
  <c r="L59" i="15"/>
  <c r="L58" i="15"/>
  <c r="C29" i="44"/>
  <c r="M9" i="44"/>
  <c r="J8" i="44" s="1"/>
  <c r="I54" i="15"/>
  <c r="J57" i="15"/>
  <c r="J55" i="15" s="1"/>
  <c r="J58" i="15" s="1"/>
  <c r="Q51" i="15" s="1"/>
  <c r="J53" i="15"/>
  <c r="L56" i="15"/>
  <c r="E17" i="52"/>
  <c r="E11" i="52"/>
  <c r="E15" i="52"/>
  <c r="E13" i="52"/>
  <c r="B14" i="52"/>
  <c r="E8" i="52"/>
  <c r="E16" i="52"/>
  <c r="B5" i="52"/>
  <c r="B9" i="52"/>
  <c r="B16" i="52"/>
  <c r="B8" i="52"/>
  <c r="B13" i="52"/>
  <c r="E10" i="52"/>
  <c r="E21" i="52"/>
  <c r="C4" i="4" s="1"/>
  <c r="B20" i="55" s="1"/>
  <c r="B70" i="63" s="1"/>
  <c r="M17" i="15"/>
  <c r="F58" i="15"/>
  <c r="F33" i="44"/>
  <c r="F31" i="15"/>
  <c r="M19" i="44"/>
  <c r="M29" i="15"/>
  <c r="M24" i="15"/>
  <c r="J15" i="15"/>
  <c r="C18" i="44"/>
  <c r="J5" i="65"/>
  <c r="F38" i="15"/>
  <c r="F43" i="15"/>
  <c r="J3" i="65"/>
  <c r="I7" i="65"/>
  <c r="J7" i="65"/>
  <c r="F13" i="15"/>
  <c r="F7" i="15"/>
  <c r="J4" i="65"/>
  <c r="F36" i="15"/>
  <c r="I3" i="65"/>
  <c r="M9" i="15"/>
  <c r="F9" i="15"/>
  <c r="I5" i="65"/>
  <c r="J6" i="65"/>
  <c r="I4" i="65"/>
  <c r="F37" i="15"/>
  <c r="J36" i="15"/>
  <c r="I6" i="65"/>
  <c r="F6" i="15"/>
  <c r="AC17" i="39" l="1"/>
  <c r="AB16" i="35"/>
  <c r="Q72" i="15"/>
  <c r="F65" i="15"/>
  <c r="F64" i="15"/>
  <c r="F63" i="15"/>
  <c r="E28" i="6"/>
  <c r="G30" i="6"/>
  <c r="G31" i="6" s="1"/>
  <c r="AN6" i="3"/>
  <c r="E464" i="3"/>
  <c r="E450" i="3"/>
  <c r="E253" i="3"/>
  <c r="E54" i="3"/>
  <c r="E213" i="3"/>
  <c r="E397" i="3"/>
  <c r="E47" i="3"/>
  <c r="E184" i="3"/>
  <c r="E473" i="3"/>
  <c r="E232" i="3"/>
  <c r="E568"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297" i="3"/>
  <c r="E59" i="3"/>
  <c r="E209" i="3"/>
  <c r="E472" i="3"/>
  <c r="E537" i="3"/>
  <c r="E452" i="3"/>
  <c r="E536" i="3"/>
  <c r="E545" i="3"/>
  <c r="E482" i="3"/>
  <c r="N6" i="3"/>
  <c r="E136" i="3"/>
  <c r="E85"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395" i="3"/>
  <c r="E270" i="3"/>
  <c r="E161" i="3"/>
  <c r="E187" i="3"/>
  <c r="E199" i="3"/>
  <c r="E435" i="3"/>
  <c r="E218" i="3"/>
  <c r="E110" i="3"/>
  <c r="E174" i="3"/>
  <c r="E98" i="3"/>
  <c r="E398" i="3"/>
  <c r="E113" i="3"/>
  <c r="E425" i="3"/>
  <c r="E401" i="3"/>
  <c r="E257" i="3"/>
  <c r="E272" i="3"/>
  <c r="E166" i="3"/>
  <c r="E102" i="3"/>
  <c r="O6" i="3"/>
  <c r="E25" i="3"/>
  <c r="E204" i="3"/>
  <c r="E258" i="3"/>
  <c r="E207" i="3"/>
  <c r="E479" i="3"/>
  <c r="E449" i="3"/>
  <c r="E43" i="3"/>
  <c r="E196" i="3"/>
  <c r="E276" i="3"/>
  <c r="E259" i="3"/>
  <c r="E370" i="3"/>
  <c r="E308" i="3"/>
  <c r="E526" i="3"/>
  <c r="E416" i="3"/>
  <c r="E477" i="3"/>
  <c r="E280" i="3"/>
  <c r="E423" i="3"/>
  <c r="E129" i="3"/>
  <c r="E539" i="3"/>
  <c r="E139" i="3"/>
  <c r="E556" i="3"/>
  <c r="E527" i="3"/>
  <c r="E248" i="3"/>
  <c r="AR6" i="3"/>
  <c r="E51" i="3"/>
  <c r="E198" i="3"/>
  <c r="E281" i="3"/>
  <c r="E290" i="3"/>
  <c r="AF6" i="3"/>
  <c r="E40" i="3"/>
  <c r="E559" i="3"/>
  <c r="E228" i="3"/>
  <c r="E324" i="3"/>
  <c r="E334" i="3"/>
  <c r="E325" i="3"/>
  <c r="E396" i="3"/>
  <c r="E216" i="3"/>
  <c r="E392" i="3"/>
  <c r="E373" i="3"/>
  <c r="E360" i="3"/>
  <c r="T6" i="3"/>
  <c r="E144" i="3"/>
  <c r="E219" i="3"/>
  <c r="E506" i="3"/>
  <c r="E571" i="3"/>
  <c r="E497" i="3"/>
  <c r="E566" i="3"/>
  <c r="E273" i="3"/>
  <c r="E563" i="3"/>
  <c r="E112" i="3"/>
  <c r="E268" i="3"/>
  <c r="E175" i="3"/>
  <c r="E565" i="3"/>
  <c r="E503" i="3"/>
  <c r="E442" i="3"/>
  <c r="E363" i="3"/>
  <c r="E245" i="3"/>
  <c r="E445" i="3"/>
  <c r="E291" i="3"/>
  <c r="E365" i="3"/>
  <c r="E33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234" i="3"/>
  <c r="E525" i="3"/>
  <c r="E353" i="3"/>
  <c r="E236" i="3"/>
  <c r="E171" i="3"/>
  <c r="E495" i="3"/>
  <c r="E335" i="3"/>
  <c r="E366" i="3"/>
  <c r="E350" i="3"/>
  <c r="E138" i="3"/>
  <c r="E252" i="3"/>
  <c r="E523" i="3"/>
  <c r="E225" i="3"/>
  <c r="E63" i="3"/>
  <c r="E79" i="3"/>
  <c r="E451" i="3"/>
  <c r="E305" i="3"/>
  <c r="E126" i="3"/>
  <c r="Y6" i="3"/>
  <c r="E96" i="3"/>
  <c r="E160" i="3"/>
  <c r="E242" i="3"/>
  <c r="E133" i="3"/>
  <c r="E87" i="3"/>
  <c r="E458" i="3"/>
  <c r="E29" i="3"/>
  <c r="E256" i="3"/>
  <c r="E491" i="3"/>
  <c r="E319" i="3"/>
  <c r="E456" i="3"/>
  <c r="E569" i="3"/>
  <c r="AJ6" i="3"/>
  <c r="E546" i="3"/>
  <c r="E15" i="3"/>
  <c r="E251" i="3"/>
  <c r="E56" i="3"/>
  <c r="E122" i="3"/>
  <c r="E208" i="3"/>
  <c r="E485" i="3"/>
  <c r="E483" i="3"/>
  <c r="E532" i="3"/>
  <c r="E340" i="3"/>
  <c r="E521" i="3"/>
  <c r="E130" i="3"/>
  <c r="E461" i="3"/>
  <c r="E328" i="3"/>
  <c r="E155" i="3"/>
  <c r="E346" i="3"/>
  <c r="E557" i="3"/>
  <c r="E157" i="3"/>
  <c r="E490" i="3"/>
  <c r="E422" i="3"/>
  <c r="E332" i="3"/>
  <c r="E52" i="3"/>
  <c r="U6" i="3"/>
  <c r="E73" i="3"/>
  <c r="E211" i="3"/>
  <c r="E466" i="3"/>
  <c r="E540" i="3"/>
  <c r="E134" i="3"/>
  <c r="AI6" i="3"/>
  <c r="E239" i="3"/>
  <c r="E128" i="3"/>
  <c r="E176" i="3"/>
  <c r="E554" i="3"/>
  <c r="K6" i="3"/>
  <c r="E50" i="3"/>
  <c r="E474" i="3"/>
  <c r="E354" i="3"/>
  <c r="E531" i="3"/>
  <c r="E344" i="3"/>
  <c r="E330" i="3"/>
  <c r="E496" i="3"/>
  <c r="E352" i="3"/>
  <c r="E519" i="3"/>
  <c r="E544" i="3"/>
  <c r="E13" i="3"/>
  <c r="E561" i="3"/>
  <c r="E443" i="3"/>
  <c r="E194" i="3"/>
  <c r="E78" i="3"/>
  <c r="E390" i="3"/>
  <c r="E296" i="3"/>
  <c r="E131" i="3"/>
  <c r="E304" i="3"/>
  <c r="E165" i="3"/>
  <c r="E404" i="3"/>
  <c r="E30" i="3"/>
  <c r="E441" i="3"/>
  <c r="E367" i="3"/>
  <c r="E415" i="3"/>
  <c r="E80" i="3"/>
  <c r="E28" i="3"/>
  <c r="E141" i="3"/>
  <c r="E168" i="3"/>
  <c r="E34" i="3"/>
  <c r="E407" i="3"/>
  <c r="E550" i="3"/>
  <c r="E37" i="3"/>
  <c r="E533" i="3"/>
  <c r="E405" i="3"/>
  <c r="E313" i="3"/>
  <c r="E38" i="3"/>
  <c r="E431" i="3"/>
  <c r="E84" i="3"/>
  <c r="AH6" i="3"/>
  <c r="R6" i="3"/>
  <c r="E534" i="3"/>
  <c r="E238" i="3"/>
  <c r="E471" i="3"/>
  <c r="AO6" i="3"/>
  <c r="E475" i="3"/>
  <c r="E421" i="3"/>
  <c r="E206" i="3"/>
  <c r="E132" i="3"/>
  <c r="E333" i="3"/>
  <c r="E91" i="3"/>
  <c r="E115" i="3"/>
  <c r="E359" i="3"/>
  <c r="E195" i="3"/>
  <c r="E391" i="3"/>
  <c r="E321" i="3"/>
  <c r="E127" i="3"/>
  <c r="E266" i="3"/>
  <c r="E215" i="3"/>
  <c r="I6" i="3"/>
  <c r="E548" i="3"/>
  <c r="Z6" i="3"/>
  <c r="E454" i="3"/>
  <c r="E520" i="3"/>
  <c r="AK6" i="3"/>
  <c r="E283" i="3"/>
  <c r="E156" i="3"/>
  <c r="E49" i="3"/>
  <c r="E193" i="3"/>
  <c r="E104" i="3"/>
  <c r="E492" i="3"/>
  <c r="E295" i="3"/>
  <c r="E89" i="3"/>
  <c r="E201" i="3"/>
  <c r="E170" i="3"/>
  <c r="E274" i="3"/>
  <c r="E32" i="3"/>
  <c r="E547" i="3"/>
  <c r="E447" i="3"/>
  <c r="E33" i="3"/>
  <c r="Q6" i="3"/>
  <c r="E119" i="3"/>
  <c r="E500" i="3"/>
  <c r="E97" i="3"/>
  <c r="AE6" i="3"/>
  <c r="E289" i="3"/>
  <c r="E560" i="3"/>
  <c r="E293" i="3"/>
  <c r="E412" i="3"/>
  <c r="E148" i="3"/>
  <c r="E109" i="3"/>
  <c r="E410" i="3"/>
  <c r="E343" i="3"/>
  <c r="E64" i="3"/>
  <c r="E294" i="3"/>
  <c r="E202" i="3"/>
  <c r="E92" i="3"/>
  <c r="E41" i="3"/>
  <c r="E476" i="3"/>
  <c r="E192" i="3"/>
  <c r="E114" i="3"/>
  <c r="E348" i="3"/>
  <c r="E93" i="3"/>
  <c r="E394" i="3"/>
  <c r="E55" i="3"/>
  <c r="E282" i="3"/>
  <c r="E570" i="3"/>
  <c r="E375" i="3"/>
  <c r="E409" i="3"/>
  <c r="E83" i="3"/>
  <c r="E124" i="3"/>
  <c r="E222" i="3"/>
  <c r="E388" i="3"/>
  <c r="E430" i="3"/>
  <c r="E146" i="3"/>
  <c r="E77" i="3"/>
  <c r="E434" i="3"/>
  <c r="E552" i="3"/>
  <c r="E57" i="3"/>
  <c r="E23" i="3"/>
  <c r="E265" i="3"/>
  <c r="AM6" i="3"/>
  <c r="E337" i="3"/>
  <c r="E158" i="3"/>
  <c r="E36" i="3"/>
  <c r="E237" i="3"/>
  <c r="E428" i="3"/>
  <c r="E100" i="3"/>
  <c r="E374" i="3"/>
  <c r="E223" i="3"/>
  <c r="E205" i="3"/>
  <c r="E399" i="3"/>
  <c r="E478" i="3"/>
  <c r="E317" i="3"/>
  <c r="E357" i="3"/>
  <c r="E179" i="3"/>
  <c r="AS6" i="3"/>
  <c r="E444" i="3"/>
  <c r="E383" i="3"/>
  <c r="E247" i="3"/>
  <c r="E189" i="3"/>
  <c r="W6" i="3"/>
  <c r="E53" i="3"/>
  <c r="E151" i="3"/>
  <c r="E70" i="3"/>
  <c r="AP6" i="3"/>
  <c r="P6" i="3"/>
  <c r="E125" i="3"/>
  <c r="E387" i="3"/>
  <c r="E44" i="3"/>
  <c r="E408" i="3"/>
  <c r="E250" i="3"/>
  <c r="E413" i="3"/>
  <c r="M6" i="3"/>
  <c r="E241" i="3"/>
  <c r="E69" i="3"/>
  <c r="E446" i="3"/>
  <c r="E152" i="3"/>
  <c r="E437" i="3"/>
  <c r="E46" i="3"/>
  <c r="E221" i="3"/>
  <c r="E457" i="3"/>
  <c r="E31" i="3"/>
  <c r="X6" i="3"/>
  <c r="AA6" i="3"/>
  <c r="AD6" i="3"/>
  <c r="AC6" i="3" s="1"/>
  <c r="E299" i="3"/>
  <c r="E327" i="3"/>
  <c r="E103" i="3"/>
  <c r="E200" i="3"/>
  <c r="E62" i="3"/>
  <c r="E389" i="3"/>
  <c r="E230" i="3"/>
  <c r="E143" i="3"/>
  <c r="E535" i="3"/>
  <c r="E381" i="3"/>
  <c r="E427" i="3"/>
  <c r="E278" i="3"/>
  <c r="E94" i="3"/>
  <c r="E149" i="3"/>
  <c r="E249" i="3"/>
  <c r="E549" i="3"/>
  <c r="E460" i="3"/>
  <c r="I3" i="6"/>
  <c r="E463" i="3"/>
  <c r="E292" i="3"/>
  <c r="E426" i="3"/>
  <c r="E60" i="3"/>
  <c r="E75" i="3"/>
  <c r="E178" i="3"/>
  <c r="J6" i="3"/>
  <c r="E48" i="3"/>
  <c r="E438" i="3"/>
  <c r="E455" i="3"/>
  <c r="E420" i="3"/>
  <c r="E190" i="3"/>
  <c r="E469" i="3"/>
  <c r="E27" i="3"/>
  <c r="E185" i="3"/>
  <c r="E468" i="3"/>
  <c r="E142" i="3"/>
  <c r="E140" i="3"/>
  <c r="E21" i="3"/>
  <c r="E376" i="3"/>
  <c r="E414" i="3"/>
  <c r="E418" i="3"/>
  <c r="E411" i="3"/>
  <c r="E86" i="3"/>
  <c r="E68" i="3"/>
  <c r="E135" i="3"/>
  <c r="E147" i="3"/>
  <c r="E22" i="3"/>
  <c r="E439" i="3"/>
  <c r="E459" i="3"/>
  <c r="E117" i="3"/>
  <c r="E231" i="3"/>
  <c r="E528" i="3"/>
  <c r="E470" i="3"/>
  <c r="E349" i="3"/>
  <c r="E186" i="3"/>
  <c r="E311" i="3"/>
  <c r="E263" i="3"/>
  <c r="E424" i="3"/>
  <c r="E82" i="3"/>
  <c r="E164" i="3"/>
  <c r="E99" i="3"/>
  <c r="E262" i="3"/>
  <c r="E101" i="3"/>
  <c r="F105" i="46"/>
  <c r="M109" i="46"/>
  <c r="M103" i="46"/>
  <c r="F7" i="33"/>
  <c r="T18" i="59"/>
  <c r="D18" i="59"/>
  <c r="AA24" i="36"/>
  <c r="S24" i="36"/>
  <c r="AC9" i="36"/>
  <c r="W9" i="36"/>
  <c r="AA34" i="35"/>
  <c r="S34" i="35"/>
  <c r="AB43" i="21"/>
  <c r="U43" i="21"/>
  <c r="E5" i="59"/>
  <c r="U6" i="59"/>
  <c r="P51" i="59"/>
  <c r="P52" i="59"/>
  <c r="AC24" i="36"/>
  <c r="W24" i="36"/>
  <c r="AB9" i="36"/>
  <c r="U9" i="36"/>
  <c r="AC26" i="33"/>
  <c r="W26" i="33"/>
  <c r="E509" i="3"/>
  <c r="S9" i="21"/>
  <c r="AA9" i="21"/>
  <c r="C34" i="12"/>
  <c r="D33" i="12" s="1"/>
  <c r="S18" i="35"/>
  <c r="AC19" i="21"/>
  <c r="D14" i="59"/>
  <c r="T14" i="59"/>
  <c r="C13" i="59"/>
  <c r="AZ21" i="3"/>
  <c r="AZ5" i="3" s="1"/>
  <c r="BA5" i="3"/>
  <c r="E27" i="6" s="1"/>
  <c r="E462" i="3"/>
  <c r="U24" i="36"/>
  <c r="AB24" i="36"/>
  <c r="AC34" i="35"/>
  <c r="W34" i="35"/>
  <c r="E553" i="3"/>
  <c r="E524" i="3"/>
  <c r="AB28" i="35"/>
  <c r="U28" i="35"/>
  <c r="D7" i="59"/>
  <c r="F103" i="46"/>
  <c r="A25" i="51"/>
  <c r="B18" i="63" s="1"/>
  <c r="S42" i="21"/>
  <c r="S14" i="59"/>
  <c r="B13" i="59"/>
  <c r="B12" i="59" s="1"/>
  <c r="F13" i="59"/>
  <c r="F12" i="59" s="1"/>
  <c r="V14" i="59"/>
  <c r="C30" i="59"/>
  <c r="D29" i="59"/>
  <c r="AA9" i="36"/>
  <c r="S9" i="36"/>
  <c r="E572" i="3"/>
  <c r="E541" i="3"/>
  <c r="BL5" i="3"/>
  <c r="F70" i="15"/>
  <c r="F49" i="15"/>
  <c r="C48" i="15" s="1"/>
  <c r="M7" i="15"/>
  <c r="J6" i="15" s="1"/>
  <c r="C6" i="15"/>
  <c r="M7" i="1"/>
  <c r="M6" i="1"/>
  <c r="H16" i="1"/>
  <c r="S19" i="21"/>
  <c r="U19" i="21"/>
  <c r="S29" i="35"/>
  <c r="AA29" i="35"/>
  <c r="U29" i="35"/>
  <c r="AB29" i="35"/>
  <c r="W42" i="21"/>
  <c r="U37" i="21"/>
  <c r="AB37" i="21"/>
  <c r="S37" i="21"/>
  <c r="AA37" i="21"/>
  <c r="W37" i="21"/>
  <c r="AC37" i="21"/>
  <c r="S11" i="21"/>
  <c r="AA11" i="21"/>
  <c r="W11" i="21"/>
  <c r="AC11" i="21"/>
  <c r="H11" i="21"/>
  <c r="G69" i="21"/>
  <c r="H69" i="21" s="1"/>
  <c r="I69" i="21" s="1"/>
  <c r="J69" i="21" s="1"/>
  <c r="K69" i="21" s="1"/>
  <c r="L69" i="21" s="1"/>
  <c r="M69" i="21" s="1"/>
  <c r="W26" i="35"/>
  <c r="AC26" i="35"/>
  <c r="U26" i="35"/>
  <c r="AB26" i="35"/>
  <c r="AA26" i="35"/>
  <c r="S26" i="35"/>
  <c r="S14" i="35"/>
  <c r="U18" i="35"/>
  <c r="AB18" i="35"/>
  <c r="W16" i="35"/>
  <c r="AC16" i="35"/>
  <c r="U14" i="35"/>
  <c r="AB14" i="35"/>
  <c r="AC14" i="35"/>
  <c r="W14" i="35"/>
  <c r="U43" i="39"/>
  <c r="AB43" i="39"/>
  <c r="AA43" i="39"/>
  <c r="S43" i="39"/>
  <c r="W43" i="39"/>
  <c r="AC43" i="39"/>
  <c r="AB42" i="39"/>
  <c r="U42" i="39"/>
  <c r="AA42" i="39"/>
  <c r="S42" i="39"/>
  <c r="AC42" i="39"/>
  <c r="W42" i="39"/>
  <c r="F31" i="6"/>
  <c r="AH13" i="46"/>
  <c r="I106" i="46"/>
  <c r="H103" i="46"/>
  <c r="B38" i="63"/>
  <c r="A3" i="55"/>
  <c r="B56" i="63" s="1"/>
  <c r="G16" i="1"/>
  <c r="J12" i="40" s="1"/>
  <c r="J7" i="33"/>
  <c r="AB7" i="21"/>
  <c r="U7" i="21"/>
  <c r="J7" i="21"/>
  <c r="E70" i="39"/>
  <c r="D72" i="39"/>
  <c r="AA7" i="21"/>
  <c r="S7" i="2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E2" i="65"/>
  <c r="C16" i="15"/>
  <c r="E3" i="65"/>
  <c r="AE7" i="1"/>
  <c r="J5" i="15" l="1"/>
  <c r="J26" i="15" s="1"/>
  <c r="O28" i="46"/>
  <c r="G20" i="46" s="1"/>
  <c r="K22" i="6"/>
  <c r="M22" i="6" s="1"/>
  <c r="I22" i="6" s="1"/>
  <c r="S22" i="6" s="1"/>
  <c r="K20" i="6"/>
  <c r="K21" i="6"/>
  <c r="K26" i="6"/>
  <c r="M26" i="6" s="1"/>
  <c r="I26" i="6" s="1"/>
  <c r="S26" i="6" s="1"/>
  <c r="K23" i="6"/>
  <c r="M23" i="6" s="1"/>
  <c r="I23" i="6" s="1"/>
  <c r="S23" i="6" s="1"/>
  <c r="K19" i="6"/>
  <c r="S6" i="1" s="1"/>
  <c r="K24" i="6"/>
  <c r="M24" i="6" s="1"/>
  <c r="I24" i="6" s="1"/>
  <c r="S24" i="6" s="1"/>
  <c r="K25" i="6"/>
  <c r="M25" i="6" s="1"/>
  <c r="I25" i="6" s="1"/>
  <c r="S25" i="6" s="1"/>
  <c r="E3" i="6"/>
  <c r="AY6" i="3"/>
  <c r="T30" i="59"/>
  <c r="D30" i="59"/>
  <c r="C12" i="59"/>
  <c r="D12" i="59" s="1"/>
  <c r="D13" i="59"/>
  <c r="M20" i="46" s="1"/>
  <c r="C19" i="46" s="1"/>
  <c r="E31" i="6"/>
  <c r="H6" i="3"/>
  <c r="E6" i="3" s="1"/>
  <c r="O7" i="1"/>
  <c r="P7" i="1" s="1"/>
  <c r="O6" i="1"/>
  <c r="P6" i="1" s="1"/>
  <c r="C15" i="12" s="1"/>
  <c r="C15" i="43"/>
  <c r="U11" i="21"/>
  <c r="AB11" i="21"/>
  <c r="M21" i="6"/>
  <c r="I21" i="6" s="1"/>
  <c r="S21" i="6" s="1"/>
  <c r="S8" i="1"/>
  <c r="M20" i="6"/>
  <c r="I20" i="6" s="1"/>
  <c r="S20" i="6" s="1"/>
  <c r="S7" i="1"/>
  <c r="J12" i="39"/>
  <c r="AC12" i="39" s="1"/>
  <c r="F12" i="40"/>
  <c r="S12" i="40" s="1"/>
  <c r="H12" i="40"/>
  <c r="AB12" i="40" s="1"/>
  <c r="H12" i="39"/>
  <c r="AB12" i="39" s="1"/>
  <c r="F12" i="39"/>
  <c r="S12" i="39" s="1"/>
  <c r="AC7" i="21"/>
  <c r="W7" i="21"/>
  <c r="E72" i="39"/>
  <c r="F70" i="39"/>
  <c r="AC7" i="33"/>
  <c r="V48" i="33" s="1"/>
  <c r="I48" i="33" s="1"/>
  <c r="I52" i="33" s="1"/>
  <c r="J52" i="33" s="1"/>
  <c r="W7" i="33"/>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E68" i="39"/>
  <c r="G52" i="37"/>
  <c r="H7" i="34"/>
  <c r="J7" i="34"/>
  <c r="W12" i="40"/>
  <c r="AC12" i="40"/>
  <c r="R49" i="33"/>
  <c r="E48" i="33"/>
  <c r="G48" i="35"/>
  <c r="G52" i="33"/>
  <c r="H52" i="33" s="1"/>
  <c r="G53" i="33"/>
  <c r="H53" i="33" s="1"/>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F41" i="15"/>
  <c r="C17" i="15"/>
  <c r="L52" i="44"/>
  <c r="J18" i="15" l="1"/>
  <c r="J24" i="15"/>
  <c r="T7" i="46"/>
  <c r="V7" i="46" s="1"/>
  <c r="C34" i="46"/>
  <c r="E34" i="46" s="1"/>
  <c r="C39" i="46"/>
  <c r="G39" i="46" s="1"/>
  <c r="I39" i="46" s="1"/>
  <c r="T4" i="46"/>
  <c r="V4" i="46" s="1"/>
  <c r="T2" i="46"/>
  <c r="V2" i="46" s="1"/>
  <c r="AY530" i="3"/>
  <c r="AY87" i="3"/>
  <c r="AY97" i="3"/>
  <c r="AY109" i="3"/>
  <c r="AY198" i="3"/>
  <c r="AY142" i="3"/>
  <c r="AY77" i="3"/>
  <c r="AY537" i="3"/>
  <c r="AY73" i="3"/>
  <c r="AY144" i="3"/>
  <c r="AY57" i="3"/>
  <c r="AY136" i="3"/>
  <c r="AY262" i="3"/>
  <c r="AY232" i="3"/>
  <c r="AY448" i="3"/>
  <c r="AY397" i="3"/>
  <c r="AY49" i="3"/>
  <c r="AY381" i="3"/>
  <c r="AY326" i="3"/>
  <c r="AY178" i="3"/>
  <c r="AY372" i="3"/>
  <c r="AY269" i="3"/>
  <c r="AY389" i="3"/>
  <c r="AY450" i="3"/>
  <c r="AY307" i="3"/>
  <c r="BC6" i="3"/>
  <c r="AY330" i="3"/>
  <c r="AY13" i="3"/>
  <c r="AY275" i="3"/>
  <c r="AY114" i="3"/>
  <c r="AY227" i="3"/>
  <c r="AY424" i="3"/>
  <c r="AY156" i="3"/>
  <c r="AY193" i="3"/>
  <c r="BD6" i="3"/>
  <c r="AY145" i="3"/>
  <c r="AY96" i="3"/>
  <c r="AY131" i="3"/>
  <c r="AY249" i="3"/>
  <c r="AY225" i="3"/>
  <c r="AY151" i="3"/>
  <c r="AY531" i="3"/>
  <c r="AY485" i="3"/>
  <c r="BP6" i="3"/>
  <c r="AY199" i="3"/>
  <c r="AY90" i="3"/>
  <c r="AY358" i="3"/>
  <c r="AY63" i="3"/>
  <c r="AY71" i="3"/>
  <c r="AY235" i="3"/>
  <c r="AY401" i="3"/>
  <c r="AY363" i="3"/>
  <c r="AY339" i="3"/>
  <c r="AY547" i="3"/>
  <c r="AY213" i="3"/>
  <c r="AY298" i="3"/>
  <c r="AY454" i="3"/>
  <c r="AY391" i="3"/>
  <c r="AY48" i="3"/>
  <c r="AY23" i="3"/>
  <c r="AY173" i="3"/>
  <c r="AY306" i="3"/>
  <c r="AY473" i="3"/>
  <c r="AY541" i="3"/>
  <c r="AY439" i="3"/>
  <c r="AY29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349" i="3"/>
  <c r="AY149" i="3"/>
  <c r="AY379" i="3"/>
  <c r="AY463" i="3"/>
  <c r="AY135" i="3"/>
  <c r="AY294" i="3"/>
  <c r="AY550" i="3"/>
  <c r="AY62" i="3"/>
  <c r="AY376" i="3"/>
  <c r="AY155" i="3"/>
  <c r="AY302" i="3"/>
  <c r="AY122" i="3"/>
  <c r="AY457" i="3"/>
  <c r="AY412" i="3"/>
  <c r="AY201" i="3"/>
  <c r="AY543" i="3"/>
  <c r="AY91" i="3"/>
  <c r="AY449" i="3"/>
  <c r="AY191" i="3"/>
  <c r="AY274" i="3"/>
  <c r="AY556" i="3"/>
  <c r="AY414" i="3"/>
  <c r="AY304" i="3"/>
  <c r="AY38" i="3"/>
  <c r="AY558" i="3"/>
  <c r="AY120" i="3"/>
  <c r="AY266" i="3"/>
  <c r="AY14" i="3"/>
  <c r="AY378" i="3"/>
  <c r="AY27" i="3"/>
  <c r="BN6" i="3"/>
  <c r="BL6" i="3"/>
  <c r="AY160" i="3"/>
  <c r="AY248" i="3"/>
  <c r="AY472" i="3"/>
  <c r="AY233" i="3"/>
  <c r="AY329" i="3"/>
  <c r="AY206" i="3"/>
  <c r="AY520" i="3"/>
  <c r="AY453" i="3"/>
  <c r="AY184" i="3"/>
  <c r="BQ6" i="3"/>
  <c r="AY360" i="3"/>
  <c r="AY137" i="3"/>
  <c r="AY565" i="3"/>
  <c r="AY244" i="3"/>
  <c r="AY399" i="3"/>
  <c r="AY553" i="3"/>
  <c r="AY480" i="3"/>
  <c r="AY174" i="3"/>
  <c r="AY351" i="3"/>
  <c r="AY328" i="3"/>
  <c r="AY344" i="3"/>
  <c r="AY223" i="3"/>
  <c r="AY190" i="3"/>
  <c r="AY440" i="3"/>
  <c r="AY195" i="3"/>
  <c r="AY495" i="3"/>
  <c r="AY267" i="3"/>
  <c r="AY545" i="3"/>
  <c r="AY433" i="3"/>
  <c r="AY455" i="3"/>
  <c r="AY502" i="3"/>
  <c r="AY110" i="3"/>
  <c r="AY403" i="3"/>
  <c r="AY514" i="3"/>
  <c r="AY499" i="3"/>
  <c r="AY507" i="3"/>
  <c r="AY215" i="3"/>
  <c r="AY61" i="3"/>
  <c r="AY237" i="3"/>
  <c r="AY59" i="3"/>
  <c r="AY522" i="3"/>
  <c r="AY33" i="3"/>
  <c r="AY551" i="3"/>
  <c r="AY167" i="3"/>
  <c r="AY180" i="3"/>
  <c r="AY477" i="3"/>
  <c r="AY45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C33" i="21"/>
  <c r="D16" i="43"/>
  <c r="C16" i="43" s="1"/>
  <c r="E6" i="6"/>
  <c r="D10" i="11"/>
  <c r="L38" i="9"/>
  <c r="B14" i="66" s="1"/>
  <c r="D10" i="70" s="1"/>
  <c r="C21" i="4"/>
  <c r="O5" i="54" s="1"/>
  <c r="B45" i="63" s="1"/>
  <c r="D45" i="9"/>
  <c r="D16" i="12"/>
  <c r="S16" i="1"/>
  <c r="U12" i="39"/>
  <c r="AA12" i="40"/>
  <c r="F68" i="15"/>
  <c r="J29" i="15"/>
  <c r="W12" i="39"/>
  <c r="U12" i="40"/>
  <c r="C33" i="46"/>
  <c r="E33" i="46" s="1"/>
  <c r="C37" i="46"/>
  <c r="G37" i="46" s="1"/>
  <c r="I37" i="46" s="1"/>
  <c r="AA12" i="39"/>
  <c r="C36" i="46"/>
  <c r="G36" i="46" s="1"/>
  <c r="I36" i="46" s="1"/>
  <c r="F21" i="43"/>
  <c r="C23" i="43" s="1"/>
  <c r="D21" i="43" s="1"/>
  <c r="F72" i="39"/>
  <c r="G70" i="39"/>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G38" i="46"/>
  <c r="I38" i="46" s="1"/>
  <c r="G34" i="46"/>
  <c r="I34" i="46" s="1"/>
  <c r="G33" i="46"/>
  <c r="I33" i="46" s="1"/>
  <c r="Q69" i="44"/>
  <c r="L58" i="44"/>
  <c r="L61" i="44" s="1"/>
  <c r="L47" i="44" s="1"/>
  <c r="C32" i="15"/>
  <c r="C38" i="15"/>
  <c r="B5" i="11"/>
  <c r="B3" i="11"/>
  <c r="B4" i="11"/>
  <c r="C59" i="15"/>
  <c r="C65" i="15"/>
  <c r="Q49" i="44"/>
  <c r="Q55" i="44" s="1"/>
  <c r="Q67" i="44"/>
  <c r="Q58" i="44"/>
  <c r="C14" i="15"/>
  <c r="C16" i="44"/>
  <c r="D19" i="12" l="1"/>
  <c r="C19" i="12" s="1"/>
  <c r="C16" i="12"/>
  <c r="D22" i="12"/>
  <c r="C22" i="12" s="1"/>
  <c r="C20" i="12" s="1"/>
  <c r="D13" i="11"/>
  <c r="C13" i="11" s="1"/>
  <c r="C40" i="39"/>
  <c r="D19" i="6"/>
  <c r="D13" i="6"/>
  <c r="D23" i="6"/>
  <c r="D8" i="6"/>
  <c r="D22" i="6"/>
  <c r="H25" i="6"/>
  <c r="H22" i="6"/>
  <c r="D21" i="6"/>
  <c r="H21" i="6"/>
  <c r="D14" i="6"/>
  <c r="H23" i="6"/>
  <c r="K38" i="9"/>
  <c r="C14" i="66" s="1"/>
  <c r="E10" i="70" s="1"/>
  <c r="D11" i="6"/>
  <c r="D9" i="6"/>
  <c r="D15" i="6"/>
  <c r="E63" i="40"/>
  <c r="D25" i="6"/>
  <c r="H24" i="6"/>
  <c r="D28" i="6"/>
  <c r="E45" i="9"/>
  <c r="D24" i="6"/>
  <c r="D12" i="6"/>
  <c r="D5" i="6"/>
  <c r="H26" i="6"/>
  <c r="C22" i="4"/>
  <c r="D10" i="6"/>
  <c r="D6" i="6"/>
  <c r="D20" i="6"/>
  <c r="F45" i="9"/>
  <c r="D26" i="6"/>
  <c r="H20" i="6"/>
  <c r="D29" i="6"/>
  <c r="H33" i="21"/>
  <c r="F33" i="21"/>
  <c r="J33" i="21"/>
  <c r="E37" i="46"/>
  <c r="T16" i="1"/>
  <c r="P14" i="1"/>
  <c r="P16" i="1" s="1"/>
  <c r="C13" i="12" s="1"/>
  <c r="C14" i="12" s="1"/>
  <c r="E36" i="46"/>
  <c r="H70" i="39"/>
  <c r="G72" i="39"/>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F7" i="67"/>
  <c r="W33" i="21" l="1"/>
  <c r="AC33" i="21"/>
  <c r="V48" i="21" s="1"/>
  <c r="I48" i="21" s="1"/>
  <c r="D30" i="6"/>
  <c r="R23" i="6"/>
  <c r="S33" i="21"/>
  <c r="AA33" i="21"/>
  <c r="R48" i="21" s="1"/>
  <c r="R26" i="6"/>
  <c r="U33" i="21"/>
  <c r="AB33" i="21"/>
  <c r="T48" i="21" s="1"/>
  <c r="G48" i="21" s="1"/>
  <c r="A20" i="51"/>
  <c r="B15" i="63" s="1"/>
  <c r="A6" i="51"/>
  <c r="B7" i="63" s="1"/>
  <c r="N5" i="54"/>
  <c r="B43" i="63" s="1"/>
  <c r="A6" i="64"/>
  <c r="A20" i="64"/>
  <c r="R24" i="6"/>
  <c r="R25" i="6"/>
  <c r="R22" i="6"/>
  <c r="D27" i="6"/>
  <c r="D31" i="6" s="1"/>
  <c r="I6" i="6" s="1"/>
  <c r="C13" i="39" s="1"/>
  <c r="H13" i="39" s="1"/>
  <c r="R20" i="6"/>
  <c r="R7" i="1" s="1"/>
  <c r="R21" i="6"/>
  <c r="R8" i="1" s="1"/>
  <c r="D16" i="6"/>
  <c r="F40" i="39"/>
  <c r="J40" i="39"/>
  <c r="H40" i="39"/>
  <c r="F13" i="39"/>
  <c r="C17" i="12"/>
  <c r="C18" i="12" s="1"/>
  <c r="H72" i="39"/>
  <c r="I70" i="39"/>
  <c r="I5" i="6"/>
  <c r="C26" i="46"/>
  <c r="C27" i="46"/>
  <c r="E4" i="67"/>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M21" i="15"/>
  <c r="E7" i="67"/>
  <c r="F35" i="15"/>
  <c r="J13" i="39" l="1"/>
  <c r="AC13" i="39" s="1"/>
  <c r="F62" i="15"/>
  <c r="C61" i="15" s="1"/>
  <c r="C34" i="15"/>
  <c r="J20" i="15"/>
  <c r="AB40" i="39"/>
  <c r="U40" i="39"/>
  <c r="W40" i="39"/>
  <c r="AC40" i="39"/>
  <c r="AA40" i="39"/>
  <c r="S40" i="39"/>
  <c r="E48" i="21"/>
  <c r="I53" i="21" s="1"/>
  <c r="J53" i="21" s="1"/>
  <c r="R49" i="21"/>
  <c r="I52" i="21"/>
  <c r="J52" i="21" s="1"/>
  <c r="G52" i="21"/>
  <c r="H52" i="21" s="1"/>
  <c r="G53" i="21"/>
  <c r="H53" i="21" s="1"/>
  <c r="S13" i="39"/>
  <c r="AA13" i="39"/>
  <c r="AB13" i="39"/>
  <c r="U13" i="39"/>
  <c r="W13" i="39"/>
  <c r="C23" i="12"/>
  <c r="C109" i="9"/>
  <c r="R27" i="6"/>
  <c r="R6" i="1"/>
  <c r="R16" i="1" s="1"/>
  <c r="I72" i="39"/>
  <c r="J70" i="39"/>
  <c r="E3" i="67"/>
  <c r="B2" i="46"/>
  <c r="D4" i="46" s="1"/>
  <c r="C18" i="43"/>
  <c r="C19" i="43" s="1"/>
  <c r="C25" i="43" s="1"/>
  <c r="C24" i="43" s="1"/>
  <c r="C28" i="44"/>
  <c r="C31" i="44" s="1"/>
  <c r="C23" i="15"/>
  <c r="C29" i="15" s="1"/>
  <c r="C36" i="15" s="1"/>
  <c r="L67" i="40"/>
  <c r="M65" i="40"/>
  <c r="K48" i="35"/>
  <c r="L48" i="35" s="1"/>
  <c r="M48" i="35" s="1"/>
  <c r="N48" i="35" s="1"/>
  <c r="O48" i="35" s="1"/>
  <c r="K52" i="37"/>
  <c r="B7" i="67"/>
  <c r="C49" i="21" l="1"/>
  <c r="B3" i="21" s="1"/>
  <c r="C48" i="21"/>
  <c r="E53" i="21"/>
  <c r="F53" i="21" s="1"/>
  <c r="E52" i="21"/>
  <c r="F52" i="21" s="1"/>
  <c r="B3" i="46"/>
  <c r="J7" i="35"/>
  <c r="AC7" i="35" s="1"/>
  <c r="V38" i="35" s="1"/>
  <c r="I38" i="35" s="1"/>
  <c r="J72" i="39"/>
  <c r="K70" i="39"/>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N65" i="40"/>
  <c r="N67" i="40" s="1"/>
  <c r="M67" i="40"/>
  <c r="L52" i="37"/>
  <c r="F7" i="35"/>
  <c r="H7" i="35"/>
  <c r="B2" i="21" l="1"/>
  <c r="C10" i="12" s="1"/>
  <c r="C8" i="12"/>
  <c r="J22" i="15"/>
  <c r="J16" i="15" s="1"/>
  <c r="J25" i="15" s="1"/>
  <c r="W7" i="35"/>
  <c r="K72" i="39"/>
  <c r="L70" i="39"/>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L51" i="15"/>
  <c r="M70" i="39" l="1"/>
  <c r="L72"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J9" i="39" l="1"/>
  <c r="N70" i="39"/>
  <c r="N72" i="39" s="1"/>
  <c r="M72" i="39"/>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C38" i="35"/>
  <c r="H7" i="37"/>
  <c r="J7" i="37"/>
  <c r="B3" i="15" l="1"/>
  <c r="D8" i="12" s="1"/>
  <c r="E39" i="1" s="1"/>
  <c r="D10" i="12"/>
  <c r="F9" i="39"/>
  <c r="H9" i="39"/>
  <c r="AC9" i="39"/>
  <c r="V49" i="39" s="1"/>
  <c r="I49" i="39" s="1"/>
  <c r="W9" i="39"/>
  <c r="W7" i="37"/>
  <c r="AC7" i="37"/>
  <c r="V42" i="37" s="1"/>
  <c r="I42" i="37" s="1"/>
  <c r="C45" i="40"/>
  <c r="C44" i="40"/>
  <c r="AB7" i="37"/>
  <c r="T42" i="37" s="1"/>
  <c r="G42" i="37" s="1"/>
  <c r="U7" i="37"/>
  <c r="E48" i="40"/>
  <c r="F48" i="40" s="1"/>
  <c r="E49" i="40"/>
  <c r="F49" i="40" s="1"/>
  <c r="E42" i="37"/>
  <c r="R43" i="37"/>
  <c r="I53" i="39" l="1"/>
  <c r="J53" i="39" s="1"/>
  <c r="AB9" i="39"/>
  <c r="T49" i="39" s="1"/>
  <c r="G49" i="39" s="1"/>
  <c r="U9" i="39"/>
  <c r="S9" i="39"/>
  <c r="AA9" i="39"/>
  <c r="R49"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G54" i="39" l="1"/>
  <c r="H54" i="39" s="1"/>
  <c r="G53" i="39"/>
  <c r="H53" i="39" s="1"/>
  <c r="E49" i="39"/>
  <c r="R50" i="39"/>
  <c r="B5" i="40"/>
  <c r="B4" i="40"/>
  <c r="B3" i="40"/>
  <c r="E53" i="39" l="1"/>
  <c r="F53" i="39" s="1"/>
  <c r="E54" i="39"/>
  <c r="F54" i="39" s="1"/>
  <c r="I54" i="39"/>
  <c r="J54" i="39" s="1"/>
  <c r="C50" i="39"/>
  <c r="C49" i="39"/>
  <c r="B61" i="39" l="1"/>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20" i="9"/>
  <c r="C19" i="9"/>
  <c r="L43" i="9" l="1"/>
  <c r="B4" i="39"/>
  <c r="B5" i="39"/>
  <c r="C21" i="9"/>
  <c r="B2" i="35" l="1"/>
  <c r="E10" i="12" s="1"/>
  <c r="C6" i="12" s="1"/>
  <c r="B3" i="35" l="1"/>
  <c r="E8" i="12" s="1"/>
  <c r="C24" i="12"/>
  <c r="C29" i="12"/>
  <c r="C35" i="12" l="1"/>
  <c r="C33" i="12" s="1"/>
  <c r="C28" i="12"/>
  <c r="C26" i="12" s="1"/>
  <c r="C31" i="12" s="1"/>
  <c r="C30" i="12" s="1"/>
  <c r="C36" i="12" l="1"/>
  <c r="B2" i="12" s="1"/>
  <c r="B4" i="12" s="1"/>
  <c r="D19" i="9"/>
  <c r="D21" i="9"/>
  <c r="B3" i="12" l="1"/>
  <c r="L44" i="9"/>
  <c r="D22" i="9"/>
  <c r="G19" i="9"/>
  <c r="B5" i="12"/>
  <c r="G21" i="9"/>
  <c r="D20" i="9"/>
  <c r="G22" i="9" l="1"/>
  <c r="C32" i="9"/>
  <c r="C35" i="9" s="1"/>
  <c r="F42" i="9" s="1"/>
  <c r="G20" i="9"/>
  <c r="N43" i="9"/>
  <c r="C34" i="9" l="1"/>
  <c r="M38" i="9" s="1"/>
  <c r="K27" i="9" s="1"/>
  <c r="C33" i="9"/>
  <c r="D42" i="9" s="1"/>
  <c r="Q5" i="54" s="1"/>
  <c r="B47" i="63" s="1"/>
  <c r="O38" i="9"/>
  <c r="K26" i="9" s="1"/>
  <c r="O43" i="9"/>
  <c r="C42" i="9"/>
  <c r="N68" i="9" s="1"/>
  <c r="E42" i="9" l="1"/>
  <c r="P5" i="54" s="1"/>
  <c r="B46" i="63" s="1"/>
  <c r="N38" i="9"/>
  <c r="K28" i="9" s="1"/>
  <c r="C44" i="9"/>
  <c r="O39" i="9" s="1"/>
  <c r="K25" i="9"/>
  <c r="D63" i="9"/>
  <c r="R5" i="54"/>
  <c r="B48" i="63" s="1"/>
  <c r="D14" i="66"/>
  <c r="F10" i="70" s="1"/>
  <c r="F16" i="70" s="1"/>
  <c r="D71" i="9" l="1"/>
  <c r="D66" i="9" s="1"/>
  <c r="N72" i="9" s="1"/>
  <c r="D73" i="9"/>
  <c r="N73" i="9" s="1"/>
  <c r="C90" i="9"/>
  <c r="C82" i="9"/>
  <c r="C81" i="9" s="1"/>
  <c r="C85" i="9" s="1"/>
  <c r="C86" i="9" s="1"/>
  <c r="D72" i="9" s="1"/>
  <c r="F14" i="66"/>
  <c r="D77" i="9"/>
  <c r="N75" i="9" s="1"/>
  <c r="F44" i="9"/>
  <c r="E14" i="66"/>
  <c r="C96" i="9"/>
  <c r="C103" i="9"/>
  <c r="C111" i="9"/>
  <c r="E44" i="9"/>
  <c r="D70" i="9"/>
  <c r="D44" i="9"/>
  <c r="N69" i="9"/>
  <c r="M84" i="9" s="1"/>
  <c r="N84" i="9" s="1"/>
  <c r="G14" i="66"/>
  <c r="R6" i="54"/>
  <c r="B50" i="63" s="1"/>
  <c r="K29" i="9"/>
  <c r="K30" i="9" s="1"/>
  <c r="M87" i="9" l="1"/>
  <c r="N87" i="9" s="1"/>
  <c r="M88" i="9"/>
  <c r="N88" i="9" s="1"/>
  <c r="M86" i="9"/>
  <c r="N86" i="9" s="1"/>
  <c r="M85" i="9"/>
  <c r="N85" i="9" s="1"/>
  <c r="M83" i="9"/>
  <c r="N83" i="9" s="1"/>
  <c r="N89" i="9" l="1"/>
  <c r="O89" i="9" s="1"/>
  <c r="D12" i="70" l="1"/>
  <c r="E12" i="70"/>
  <c r="E18" i="70" s="1"/>
  <c r="E16" i="66" l="1"/>
  <c r="F12" i="70"/>
  <c r="F18" i="70" s="1"/>
  <c r="F16" i="66"/>
  <c r="B27" i="9" l="1"/>
  <c r="D11" i="70" l="1"/>
  <c r="B1" i="66"/>
  <c r="C106" i="9" l="1"/>
  <c r="C107" i="9" s="1"/>
  <c r="C105" i="9" s="1"/>
  <c r="C93" i="9"/>
  <c r="C95" i="9" s="1"/>
  <c r="C92" i="9" s="1"/>
  <c r="C91" i="9" s="1"/>
  <c r="C97" i="9" s="1"/>
  <c r="C7" i="66"/>
  <c r="D13" i="70"/>
  <c r="E11" i="70"/>
  <c r="E17" i="70" s="1"/>
  <c r="B2" i="66"/>
  <c r="C98" i="9" l="1"/>
  <c r="E98" i="9" s="1"/>
  <c r="E99" i="9" s="1"/>
  <c r="E13" i="70"/>
  <c r="E19" i="70" s="1"/>
  <c r="D7" i="66"/>
  <c r="C110" i="9"/>
  <c r="C104" i="9" s="1"/>
  <c r="C113" i="9" s="1"/>
  <c r="C114" i="9" l="1"/>
  <c r="E114" i="9" s="1"/>
  <c r="E115" i="9" s="1"/>
  <c r="C99" i="9"/>
  <c r="G12" i="70" l="1"/>
  <c r="G18" i="70" s="1"/>
  <c r="C115" i="9"/>
  <c r="D76" i="9" s="1"/>
  <c r="D74" i="9" s="1"/>
  <c r="N74" i="9" s="1"/>
  <c r="O77" i="9" s="1"/>
  <c r="I15" i="66" l="1"/>
  <c r="O78" i="9"/>
  <c r="O79" i="9"/>
  <c r="Q77" i="9"/>
  <c r="I16" i="66" l="1"/>
  <c r="G11" i="70"/>
  <c r="G17" i="70" s="1"/>
  <c r="C46" i="9"/>
  <c r="O80" i="9"/>
  <c r="O81" i="9"/>
  <c r="G10" i="70" l="1"/>
  <c r="G16" i="70" s="1"/>
  <c r="I14" i="66"/>
  <c r="G13" i="70"/>
  <c r="G19" i="70" s="1"/>
  <c r="D46" i="9"/>
  <c r="K33" i="9"/>
  <c r="E46" i="9"/>
  <c r="F46" i="9"/>
  <c r="O41" i="9"/>
  <c r="R8" i="54" s="1"/>
  <c r="B54" i="63" s="1"/>
  <c r="K34" i="9" l="1"/>
  <c r="F15" i="66" l="1"/>
  <c r="B5" i="66"/>
  <c r="F11" i="70"/>
  <c r="F17" i="70" s="1"/>
  <c r="E15" i="66"/>
  <c r="B6" i="66"/>
  <c r="C6" i="66" l="1"/>
  <c r="D6" i="66"/>
  <c r="F13" i="70"/>
  <c r="F19" i="70" s="1"/>
  <c r="C27" i="9"/>
  <c r="D5" i="72"/>
  <c r="D5" i="66"/>
  <c r="C5" i="66"/>
  <c r="D9" i="72" l="1"/>
  <c r="D6" i="72"/>
  <c r="D10" i="72" s="1"/>
  <c r="C22" i="72"/>
  <c r="C30" i="72" s="1"/>
  <c r="C23" i="72" s="1"/>
  <c r="C32" i="72" s="1"/>
  <c r="C33" i="72" l="1"/>
  <c r="C34" i="72"/>
  <c r="D11" i="72" s="1"/>
  <c r="E14" i="72" s="1"/>
  <c r="E15" i="72" l="1"/>
  <c r="E16" i="72"/>
  <c r="E18" i="72" l="1"/>
  <c r="E17" i="72"/>
  <c r="B8" i="66"/>
  <c r="H10" i="70" s="1"/>
  <c r="H13" i="70"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<sst xmlns="http://schemas.openxmlformats.org/spreadsheetml/2006/main" count="8858" uniqueCount="3592">
  <si>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</si>
  <si>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</si>
  <si>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</si>
  <si>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</si>
  <si>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</si>
  <si>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</si>
  <si>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</si>
  <si>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</si>
  <si>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</si>
  <si>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</si>
  <si>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</si>
  <si>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</si>
  <si>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</si>
  <si>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</si>
  <si>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</si>
  <si>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</si>
  <si>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</si>
  <si>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</si>
  <si>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</si>
  <si>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</si>
  <si>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</si>
  <si>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</si>
  <si>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</si>
  <si>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</si>
  <si>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</si>
  <si>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</si>
  <si>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</si>
  <si>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</si>
  <si>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</si>
  <si>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</si>
  <si>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</si>
  <si>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</si>
  <si>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</si>
  <si>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</si>
  <si>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</si>
  <si>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</si>
  <si>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</si>
  <si>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</si>
  <si>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</si>
  <si>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</si>
  <si>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</si>
  <si>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</si>
  <si>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</si>
  <si>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</si>
  <si>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</si>
  <si>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</si>
  <si>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</si>
  <si>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</si>
  <si>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</si>
  <si>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</si>
  <si>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</si>
  <si>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</si>
  <si>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</si>
  <si>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</si>
  <si>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</si>
  <si>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</si>
  <si>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</si>
  <si>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</si>
  <si>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</si>
  <si>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</si>
  <si>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</si>
  <si>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</si>
  <si>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</si>
  <si>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</si>
  <si>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</si>
  <si>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</si>
  <si>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</si>
  <si>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</si>
  <si>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</si>
  <si>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</si>
  <si>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</si>
  <si>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</si>
  <si>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</si>
  <si>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</si>
  <si>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</si>
  <si>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</si>
  <si>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</si>
  <si>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</si>
  <si>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</si>
  <si>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</si>
  <si>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</si>
  <si>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</si>
  <si>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</si>
  <si>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</si>
  <si>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</si>
  <si>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</si>
  <si>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</si>
  <si>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</si>
  <si>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</si>
  <si>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</si>
  <si>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</si>
  <si>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</si>
  <si>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</si>
  <si>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</si>
  <si>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</si>
  <si>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</si>
  <si>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</si>
  <si>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</si>
  <si>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</si>
  <si>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</si>
  <si>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</si>
  <si>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</si>
  <si>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</si>
  <si>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</si>
  <si>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</si>
  <si>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</si>
  <si>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</si>
  <si>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</si>
  <si>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</si>
  <si>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</si>
  <si>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</si>
  <si>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</si>
  <si>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</si>
  <si>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</si>
  <si>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</si>
  <si>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</si>
  <si>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</si>
  <si>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</si>
  <si>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</si>
  <si>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</si>
  <si>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</si>
  <si>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</si>
  <si>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</si>
  <si>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</si>
  <si>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</si>
  <si>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</si>
  <si>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</si>
  <si>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</si>
  <si>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</si>
  <si>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</si>
  <si>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</si>
  <si>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</si>
  <si>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</si>
  <si>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</si>
  <si>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</si>
  <si>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</si>
  <si>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</si>
  <si>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</si>
  <si>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</si>
  <si>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</si>
  <si>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</si>
  <si>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</si>
  <si>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</si>
  <si>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</si>
  <si>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</si>
  <si>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</si>
  <si>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</si>
  <si>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</si>
  <si>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</si>
  <si>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</si>
  <si>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</si>
  <si>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</si>
  <si>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</si>
  <si>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</si>
  <si>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</si>
  <si>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</si>
  <si>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</si>
  <si>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</si>
  <si>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</si>
  <si>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</si>
  <si>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</si>
  <si>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</si>
  <si>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</si>
  <si>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</si>
  <si>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</si>
  <si>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</si>
  <si>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</si>
  <si>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</si>
  <si>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</si>
  <si>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</si>
  <si>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</si>
  <si>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</si>
  <si>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</si>
  <si>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</si>
  <si>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</si>
  <si>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</si>
  <si>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</si>
  <si>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</si>
  <si>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</si>
  <si>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</si>
  <si>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</si>
  <si>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</si>
  <si>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</si>
  <si>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</si>
  <si>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</si>
  <si>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</si>
  <si>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</si>
  <si>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</si>
  <si>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</si>
  <si>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</si>
  <si>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</si>
  <si>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</si>
  <si>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</si>
  <si>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</si>
  <si>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</si>
  <si>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</si>
  <si>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</si>
  <si>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</si>
  <si>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</si>
  <si>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</si>
  <si>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</si>
  <si>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</si>
  <si>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</si>
  <si>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</si>
  <si>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</si>
  <si>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</si>
  <si>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</si>
  <si>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</si>
  <si>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</si>
  <si>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</si>
  <si>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</si>
  <si>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</si>
  <si>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</si>
  <si>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</si>
  <si>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</si>
  <si>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</si>
  <si>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</si>
  <si>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</si>
  <si>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</si>
  <si>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</si>
  <si>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</si>
  <si>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</si>
  <si>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</si>
  <si>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</si>
  <si>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</si>
  <si>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</si>
  <si>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</si>
  <si>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</si>
  <si>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</si>
  <si>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</si>
  <si>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</si>
  <si>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</si>
  <si>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</si>
  <si>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</si>
  <si>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</si>
  <si>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</si>
  <si>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</si>
  <si>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</si>
  <si>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</si>
  <si>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</si>
  <si>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</si>
  <si>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</si>
  <si>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</si>
  <si>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</si>
  <si>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</si>
  <si>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</si>
  <si>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</si>
  <si>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</si>
  <si>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</si>
  <si>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</si>
  <si>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</si>
  <si>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</si>
  <si>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</si>
  <si>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</si>
  <si>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</si>
  <si>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</si>
  <si>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</si>
  <si>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</si>
  <si>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</si>
  <si>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</si>
  <si>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</si>
  <si>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</si>
  <si>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</si>
  <si>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</si>
  <si>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</si>
  <si>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</si>
  <si>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</si>
  <si>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</si>
  <si>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</si>
  <si>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</si>
  <si>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</si>
  <si>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</si>
  <si>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</si>
  <si>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</si>
  <si>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</si>
  <si>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</si>
  <si>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</si>
  <si>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</si>
  <si>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</si>
  <si>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</si>
  <si>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</si>
  <si>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</si>
  <si>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</si>
  <si>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</si>
  <si>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</si>
  <si>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</si>
  <si>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</si>
  <si>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</si>
  <si>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</si>
  <si>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</si>
  <si>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</si>
  <si>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</si>
  <si>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</si>
  <si>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</si>
  <si>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</si>
  <si>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</si>
  <si>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</si>
  <si>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</si>
  <si>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</si>
  <si>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</si>
  <si>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</si>
  <si>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</si>
  <si>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</si>
  <si>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</si>
  <si>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</si>
  <si>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</si>
  <si>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</si>
  <si>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</si>
  <si>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</si>
  <si>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</si>
  <si>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</si>
  <si>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</si>
  <si>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</si>
  <si>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</si>
  <si>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</si>
  <si>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</si>
  <si>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</si>
  <si>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</si>
  <si>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</si>
  <si>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</si>
  <si>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</si>
  <si>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</si>
  <si>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</si>
  <si>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</si>
  <si>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</si>
  <si>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</si>
  <si>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</si>
  <si>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</si>
  <si>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</si>
  <si>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</si>
  <si>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</si>
  <si>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</si>
  <si>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</si>
  <si>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</si>
  <si>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</si>
  <si>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</si>
  <si>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</si>
  <si>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</si>
  <si>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</si>
  <si>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</si>
  <si>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</si>
  <si>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</si>
  <si>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</si>
  <si>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</si>
  <si>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</si>
  <si>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</si>
  <si>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</si>
  <si>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</si>
  <si>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</si>
  <si>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</si>
  <si>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</si>
  <si>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</si>
  <si>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</si>
  <si>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</si>
  <si>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</si>
  <si>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</si>
  <si>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</si>
  <si>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</si>
  <si>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</si>
  <si>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</si>
  <si>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</si>
  <si>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</si>
  <si>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</si>
  <si>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</si>
  <si>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</si>
  <si>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</si>
  <si>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</si>
  <si>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</si>
  <si>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</si>
  <si>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</si>
  <si>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</si>
  <si>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</si>
  <si>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</si>
  <si>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</si>
  <si>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</si>
  <si>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</si>
  <si>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</si>
  <si>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</si>
  <si>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</si>
  <si>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</si>
  <si>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</si>
  <si>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</si>
  <si>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</si>
  <si>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</si>
  <si>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</si>
  <si>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</si>
  <si>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</si>
  <si>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</si>
  <si>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</si>
  <si>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</si>
  <si>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</si>
  <si>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</si>
  <si>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</si>
  <si>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</si>
  <si>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</si>
  <si>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</si>
  <si>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</si>
  <si>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</si>
  <si>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</si>
  <si>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</si>
  <si>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</si>
  <si>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</si>
  <si>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</si>
  <si>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</si>
  <si>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</si>
  <si>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</si>
  <si>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</si>
  <si>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</si>
  <si>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</si>
  <si>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</si>
  <si>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</si>
  <si>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</si>
  <si>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</si>
  <si>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</si>
  <si>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</si>
  <si>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</si>
  <si>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</si>
  <si>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</si>
  <si>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</si>
  <si>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</si>
  <si>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</si>
  <si>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</si>
  <si>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</si>
  <si>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</si>
  <si>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</si>
  <si>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</si>
  <si>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</si>
  <si>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</si>
  <si>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</si>
  <si>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</si>
  <si>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</si>
  <si>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</si>
  <si>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</si>
  <si>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</si>
  <si>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</si>
  <si>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</si>
  <si>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</si>
  <si>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</si>
  <si>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</si>
  <si>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</si>
  <si>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</si>
  <si>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</si>
  <si>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</si>
  <si>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</si>
  <si>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</si>
  <si>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</si>
  <si>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</si>
  <si>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</si>
  <si>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</si>
  <si>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</si>
  <si>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</si>
  <si>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</si>
  <si>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</si>
  <si>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</si>
  <si>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</si>
  <si>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</si>
  <si>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</si>
  <si>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</si>
  <si>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</si>
  <si>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</si>
  <si>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</si>
  <si>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</si>
  <si>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</si>
  <si>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</si>
  <si>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</si>
  <si>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</si>
  <si>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</si>
  <si>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</si>
  <si>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</si>
  <si>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</si>
  <si>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</si>
  <si>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</si>
  <si>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</si>
  <si>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</si>
  <si>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</si>
  <si>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</si>
  <si>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</si>
  <si>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</si>
  <si>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</si>
  <si>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</si>
  <si>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</si>
  <si>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</si>
  <si>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</si>
  <si>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</si>
  <si>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</si>
  <si>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</si>
  <si>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</si>
  <si>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</si>
  <si>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</si>
  <si>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</si>
  <si>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</si>
  <si>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</si>
  <si>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</si>
  <si>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</si>
  <si>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</si>
  <si>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</si>
  <si>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</si>
  <si>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</si>
  <si>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</si>
  <si>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</si>
  <si>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</si>
  <si>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</si>
  <si>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</si>
  <si>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</si>
  <si>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</si>
  <si>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</si>
  <si>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</si>
  <si>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</si>
  <si>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</si>
  <si>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</si>
  <si>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</si>
  <si>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</si>
  <si>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</si>
  <si>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</si>
  <si>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</si>
  <si>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</si>
  <si>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</si>
  <si>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</si>
  <si>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</si>
  <si>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</si>
  <si>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</si>
  <si>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</si>
  <si>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</si>
  <si>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</si>
  <si>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</si>
  <si>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</si>
  <si>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</si>
  <si>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</si>
  <si>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</si>
  <si>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</si>
  <si>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</si>
  <si>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</si>
  <si>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</si>
  <si>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</si>
  <si>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</si>
  <si>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</si>
  <si>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</si>
  <si>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</si>
  <si>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</si>
  <si>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</si>
  <si>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</si>
  <si>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</si>
  <si>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</si>
  <si>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</si>
  <si>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</si>
  <si>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</si>
  <si>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</si>
  <si>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</si>
  <si>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</si>
  <si>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</si>
  <si>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</si>
  <si>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</si>
  <si>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</si>
  <si>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</si>
  <si>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</si>
  <si>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</si>
  <si>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</si>
  <si>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</si>
  <si>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</si>
  <si>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</si>
  <si>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</si>
  <si>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</si>
  <si>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</si>
  <si>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</si>
  <si>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</si>
  <si>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</si>
  <si>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</si>
  <si>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</si>
  <si>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</si>
  <si>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</si>
  <si>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</si>
  <si>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</si>
  <si>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</si>
  <si>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</si>
  <si>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</si>
  <si>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</si>
  <si>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</si>
  <si>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</si>
  <si>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</si>
  <si>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</si>
  <si>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</si>
  <si>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</si>
  <si>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</si>
  <si>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</si>
  <si>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</si>
  <si>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</si>
  <si>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</si>
  <si>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</si>
  <si>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</si>
  <si>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</si>
  <si>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</si>
  <si>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</si>
  <si>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</si>
  <si>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</si>
  <si>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</si>
  <si>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</si>
  <si>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</si>
  <si>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</si>
  <si>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</si>
  <si>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</si>
  <si>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</si>
  <si>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</si>
  <si>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</si>
  <si>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</si>
  <si>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</si>
  <si>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</si>
  <si>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</si>
  <si>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</si>
  <si>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</si>
  <si>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</si>
  <si>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</si>
  <si>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</si>
  <si>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</si>
  <si>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</si>
  <si>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</si>
  <si>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</si>
  <si>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</si>
  <si>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</si>
  <si>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</si>
  <si>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</si>
  <si>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</si>
  <si>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</si>
  <si>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</si>
  <si>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</si>
  <si>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</si>
  <si>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</si>
  <si>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</si>
  <si>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</si>
  <si>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</si>
  <si>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</si>
  <si>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</si>
  <si>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</si>
  <si>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</si>
  <si>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</si>
  <si>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</si>
  <si>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</si>
  <si>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</si>
  <si>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</si>
  <si>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</si>
  <si>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</si>
  <si>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</si>
  <si>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</si>
  <si>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</si>
  <si>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</si>
  <si>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</si>
  <si>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</si>
  <si>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</si>
  <si>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</si>
  <si>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</si>
  <si>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</si>
  <si>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</si>
  <si>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</si>
  <si>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</si>
  <si>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</si>
  <si>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</si>
  <si>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</si>
  <si>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</si>
  <si>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</si>
  <si>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</si>
  <si>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</si>
  <si>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</si>
  <si>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</si>
  <si>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</si>
  <si>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</si>
  <si>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</si>
  <si>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</si>
  <si>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</si>
  <si>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</si>
  <si>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</si>
  <si>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</si>
  <si>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</si>
  <si>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</si>
  <si>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</si>
  <si>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</si>
  <si>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</si>
  <si>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</si>
  <si>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</si>
  <si>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</si>
  <si>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</si>
  <si>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</si>
  <si>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</si>
  <si>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</si>
  <si>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</si>
  <si>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</si>
  <si>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</si>
  <si>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</si>
  <si>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</si>
  <si>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</si>
  <si>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</si>
  <si>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</si>
  <si>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</si>
  <si>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</si>
  <si>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</si>
  <si>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</si>
  <si>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</si>
  <si>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</si>
  <si>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</si>
  <si>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</si>
  <si>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</si>
  <si>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</si>
  <si>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</si>
  <si>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</si>
  <si>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</si>
  <si>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</si>
  <si>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</si>
  <si>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</si>
  <si>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</si>
  <si>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</si>
  <si>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</si>
  <si>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</si>
  <si>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</si>
  <si>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</si>
  <si>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</si>
  <si>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</si>
  <si>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</si>
  <si>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</si>
  <si>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</si>
  <si>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</si>
  <si>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</si>
  <si>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</si>
  <si>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</si>
  <si>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</si>
  <si>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</si>
  <si>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</si>
  <si>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</si>
  <si>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</si>
  <si>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</si>
  <si>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</si>
  <si>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</si>
  <si>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</si>
  <si>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</si>
  <si>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</si>
  <si>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</si>
  <si>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</si>
  <si>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</si>
  <si>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</si>
  <si>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</si>
  <si>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</si>
  <si>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</si>
  <si>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</si>
  <si>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</si>
  <si>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</si>
  <si>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</si>
  <si>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</si>
  <si>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</si>
  <si>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</si>
  <si>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</si>
  <si>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</si>
  <si>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</si>
  <si>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</si>
  <si>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</si>
  <si>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</si>
  <si>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</si>
  <si>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</si>
  <si>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</si>
  <si>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</si>
  <si>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</si>
  <si>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</si>
  <si>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</si>
  <si>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</si>
  <si>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</si>
  <si>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</si>
  <si>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</si>
  <si>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</si>
  <si>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</si>
  <si>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</si>
  <si>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</si>
  <si>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</si>
  <si>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</si>
  <si>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</si>
  <si>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</si>
  <si>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</si>
  <si>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</si>
  <si>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</si>
  <si>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</si>
  <si>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</si>
  <si>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</si>
  <si>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</si>
  <si>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</si>
  <si>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</si>
  <si>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</si>
  <si>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</si>
  <si>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</si>
  <si>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</si>
  <si>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</si>
  <si>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</si>
  <si>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</si>
  <si>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</si>
  <si>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</si>
  <si>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</si>
  <si>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</si>
  <si>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</si>
  <si>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</si>
  <si>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</si>
  <si>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</si>
  <si>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</si>
  <si>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</si>
  <si>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</si>
  <si>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</si>
  <si>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</si>
  <si>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</si>
  <si>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</si>
  <si>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</si>
  <si>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</si>
  <si>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</si>
  <si>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</si>
  <si>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</si>
  <si>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</si>
  <si>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</si>
  <si>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</si>
  <si>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</si>
  <si>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</si>
  <si>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</si>
  <si>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</si>
  <si>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</si>
  <si>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</si>
  <si>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</si>
  <si>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</si>
  <si>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</si>
  <si>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</si>
  <si>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</si>
  <si>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</si>
  <si>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</si>
  <si>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</si>
  <si>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</si>
  <si>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</si>
  <si>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</si>
  <si>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</si>
  <si>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</si>
  <si>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</si>
  <si>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</si>
  <si>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</si>
  <si>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</si>
  <si>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</si>
  <si>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</si>
  <si>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</si>
  <si>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</si>
  <si>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</si>
  <si>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</si>
  <si>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</si>
  <si>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</si>
  <si>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</si>
  <si>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</si>
  <si>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</si>
  <si>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</si>
  <si>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</si>
  <si>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</si>
  <si>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</si>
  <si>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</si>
  <si>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</si>
  <si>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</si>
  <si>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</si>
  <si>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</si>
  <si>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</si>
  <si>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</si>
  <si>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</si>
  <si>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</si>
  <si>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</si>
  <si>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</si>
  <si>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</si>
  <si>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</si>
  <si>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</si>
  <si>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</si>
  <si>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</si>
  <si>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</si>
  <si>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</si>
  <si>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</si>
  <si>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</si>
  <si>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</si>
  <si>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</si>
  <si>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</si>
  <si>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</si>
  <si>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</si>
  <si>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</si>
  <si>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</si>
  <si>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</si>
  <si>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</si>
  <si>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</si>
  <si>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</si>
  <si>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</si>
  <si>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</si>
  <si>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</si>
  <si>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</si>
  <si>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</si>
  <si>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</si>
  <si>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</si>
  <si>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</si>
  <si>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</si>
  <si>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</si>
  <si>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</si>
  <si>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</si>
  <si>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</si>
  <si>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</si>
  <si>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</si>
  <si>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</si>
  <si>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</si>
  <si>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</si>
  <si>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</si>
  <si>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</si>
  <si>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</si>
  <si>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</si>
  <si>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</si>
  <si>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</si>
  <si>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</si>
  <si>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</si>
  <si>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</si>
  <si>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</si>
  <si>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</si>
  <si>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</si>
  <si>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</si>
  <si>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</si>
  <si>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</si>
  <si>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</si>
  <si>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</si>
  <si>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</si>
  <si>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</si>
  <si>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</si>
  <si>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</si>
  <si>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</si>
  <si>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</si>
  <si>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</si>
  <si>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</si>
  <si>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</si>
  <si>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</si>
  <si>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</si>
  <si>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</si>
  <si>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</si>
  <si>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</si>
  <si>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</si>
  <si>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</si>
  <si>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</si>
  <si>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</si>
  <si>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</si>
  <si>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</si>
  <si>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</si>
  <si>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</si>
  <si>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</si>
  <si>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</si>
  <si>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</si>
  <si>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</si>
  <si>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</si>
  <si>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</si>
  <si>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</si>
  <si>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</si>
  <si>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</si>
  <si>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</si>
  <si>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</si>
  <si>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</si>
  <si>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</si>
  <si>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</si>
  <si>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</si>
  <si>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</si>
  <si>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</si>
  <si>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</si>
  <si>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</si>
  <si>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</si>
  <si>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</si>
  <si>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</si>
  <si>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</si>
  <si>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</si>
  <si>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</si>
  <si>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</si>
  <si>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</si>
  <si>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</si>
  <si>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</si>
  <si>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</si>
  <si>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</si>
  <si>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</si>
  <si>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</si>
  <si>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</si>
  <si>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</si>
  <si>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</si>
  <si>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</si>
  <si>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</si>
  <si>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</si>
  <si>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</si>
  <si>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</si>
  <si>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</si>
  <si>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</si>
  <si>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</si>
  <si>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</si>
  <si>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</si>
  <si>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</si>
  <si>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</si>
  <si>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</si>
  <si>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</si>
  <si>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</si>
  <si>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</si>
  <si>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</si>
  <si>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</si>
  <si>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</si>
  <si>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</si>
  <si>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</si>
  <si>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</si>
  <si>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</si>
  <si>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</si>
  <si>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</si>
  <si>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</si>
  <si>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</si>
  <si>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</si>
  <si>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</si>
  <si>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</si>
  <si>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</si>
  <si>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</si>
  <si>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</si>
  <si>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</si>
  <si>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</si>
  <si>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</si>
  <si>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</si>
  <si>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</si>
  <si>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</si>
  <si>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</si>
  <si>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</si>
  <si>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</si>
  <si>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</si>
  <si>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</si>
  <si>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</si>
  <si>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</si>
  <si>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</si>
  <si>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</si>
  <si>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</si>
  <si>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</si>
  <si>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</si>
  <si>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</si>
  <si>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</si>
  <si>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</si>
  <si>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</si>
  <si>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</si>
  <si>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</si>
  <si>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</si>
  <si>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</si>
  <si>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</si>
  <si>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</si>
  <si>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</si>
  <si>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</si>
  <si>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</si>
  <si>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</si>
  <si>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</si>
  <si>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</si>
  <si>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</si>
  <si>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</si>
  <si>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</si>
  <si>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</si>
  <si>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</si>
  <si>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</si>
  <si>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</si>
  <si>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</si>
  <si>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</si>
  <si>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</si>
  <si>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</si>
  <si>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</si>
  <si>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</si>
  <si>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</si>
  <si>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</si>
  <si>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</si>
  <si>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</si>
  <si>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</si>
  <si>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</si>
  <si>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</si>
  <si>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</si>
  <si>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</si>
  <si>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</si>
  <si>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</si>
  <si>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</si>
  <si>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</si>
  <si>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</si>
  <si>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</si>
  <si>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</si>
  <si>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</si>
  <si>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</si>
  <si>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</si>
  <si>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</si>
  <si>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</si>
  <si>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</si>
  <si>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</si>
  <si>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</si>
  <si>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</si>
  <si>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</si>
  <si>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</si>
  <si>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</si>
  <si>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</si>
  <si>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</si>
  <si>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</si>
  <si>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</si>
  <si>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</si>
  <si>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</si>
  <si>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</si>
  <si>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</si>
  <si>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</si>
  <si>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</si>
  <si>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</si>
  <si>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</si>
  <si>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</si>
  <si>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</si>
  <si>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</si>
  <si>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</si>
  <si>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</si>
  <si>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</si>
  <si>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</si>
  <si>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</si>
  <si>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</si>
  <si>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</si>
  <si>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</si>
  <si>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</si>
  <si>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</si>
  <si>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</si>
  <si>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</si>
  <si>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</si>
  <si>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</si>
  <si>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</si>
  <si>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</si>
  <si>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</si>
  <si>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</si>
  <si>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</si>
  <si>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</si>
  <si>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</si>
  <si>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</si>
  <si>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</si>
  <si>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</si>
  <si>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</si>
  <si>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</si>
  <si>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</si>
  <si>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</si>
  <si>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</si>
  <si>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</si>
  <si>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</si>
  <si>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</si>
  <si>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</si>
  <si>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</si>
  <si>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</si>
  <si>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</si>
  <si>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</si>
  <si>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</si>
  <si>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</si>
  <si>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</si>
  <si>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</si>
  <si>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</si>
  <si>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</si>
  <si>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</si>
  <si>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</si>
  <si>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</si>
  <si>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</si>
  <si>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</si>
  <si>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</si>
  <si>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</si>
  <si>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</si>
  <si>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</si>
  <si>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</si>
  <si>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</si>
  <si>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</si>
  <si>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</si>
  <si>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</si>
  <si>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</si>
  <si>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</si>
  <si>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</si>
  <si>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</si>
  <si>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</si>
  <si>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</si>
  <si>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</si>
  <si>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</si>
  <si>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</si>
  <si>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</si>
  <si>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</si>
  <si>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</si>
  <si>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</si>
  <si>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</si>
  <si>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</si>
  <si>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</si>
  <si>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</si>
  <si>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</si>
  <si>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</si>
  <si>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</si>
  <si>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</si>
  <si>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</si>
  <si>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</si>
  <si>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</si>
  <si>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</si>
  <si>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</si>
  <si>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</si>
  <si>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</si>
  <si>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</si>
  <si>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</si>
  <si>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</si>
  <si>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</si>
  <si>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</si>
  <si>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</si>
  <si>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</si>
  <si>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</si>
  <si>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</si>
  <si>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</si>
  <si>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</si>
  <si>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</si>
  <si>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</si>
  <si>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</si>
  <si>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</si>
  <si>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</si>
  <si>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</si>
  <si>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</si>
  <si>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</si>
  <si>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</si>
  <si>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</si>
  <si>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</si>
  <si>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</si>
  <si>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</si>
  <si>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</si>
  <si>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</si>
  <si>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</si>
  <si>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</si>
  <si>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</si>
  <si>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</si>
  <si>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</si>
  <si>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</si>
  <si>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</si>
  <si>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</si>
  <si>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</si>
  <si>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</si>
  <si>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</si>
  <si>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</si>
  <si>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</si>
  <si>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</si>
  <si>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</si>
  <si>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</si>
  <si>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</si>
  <si>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</si>
  <si>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</si>
  <si>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</si>
  <si>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</si>
  <si>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</si>
  <si>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</si>
  <si>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</si>
  <si>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</si>
  <si>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</si>
  <si>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</si>
  <si>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</si>
  <si>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</si>
  <si>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</si>
  <si>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</si>
  <si>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</si>
  <si>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</si>
  <si>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</si>
  <si>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</si>
  <si>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</si>
  <si>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</si>
  <si>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</si>
  <si>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</si>
  <si>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</si>
  <si>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</si>
  <si>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</si>
  <si>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</si>
  <si>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</si>
  <si>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</si>
  <si>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</si>
  <si>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</si>
  <si>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</si>
  <si>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</si>
  <si>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</si>
  <si>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</si>
  <si>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</si>
  <si>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</si>
  <si>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</si>
  <si>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</si>
  <si>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</si>
  <si>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</si>
  <si>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</si>
  <si>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</si>
  <si>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</si>
  <si>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</si>
  <si>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</si>
  <si>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</si>
  <si>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</si>
  <si>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</si>
  <si>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</si>
  <si>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</si>
  <si>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</si>
  <si>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</si>
  <si>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</si>
  <si>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</si>
  <si>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</si>
  <si>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</si>
  <si>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</si>
  <si>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</si>
  <si>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</si>
  <si>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</si>
  <si>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</si>
  <si>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</si>
  <si>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</si>
  <si>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</si>
  <si>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</si>
  <si>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</si>
  <si>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</si>
  <si>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</si>
  <si>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</si>
  <si>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</si>
  <si>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</si>
  <si>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</si>
  <si>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</si>
  <si>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</si>
  <si>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</si>
  <si>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</si>
  <si>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</si>
  <si>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</si>
  <si>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</si>
  <si>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</si>
  <si>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</si>
  <si>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</si>
  <si>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</si>
  <si>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</si>
  <si>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</si>
  <si>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</si>
  <si>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</si>
  <si>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</si>
  <si>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</si>
  <si>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</si>
  <si>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</si>
  <si>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</si>
  <si>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</si>
  <si>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</si>
  <si>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</si>
  <si>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</si>
  <si>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</si>
  <si>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</si>
  <si>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</si>
  <si>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</si>
  <si>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</si>
  <si>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</si>
  <si>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</si>
  <si>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</si>
  <si>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</si>
  <si>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</si>
  <si>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</si>
  <si>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</si>
  <si>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</si>
  <si>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</si>
  <si>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</si>
  <si>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</si>
  <si>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</si>
  <si>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</si>
  <si>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</si>
  <si>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</si>
  <si>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</si>
  <si>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</si>
  <si>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</si>
  <si>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</si>
  <si>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</si>
  <si>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</si>
  <si>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</si>
  <si>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</si>
  <si>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</si>
  <si>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</si>
  <si>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</si>
  <si>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</si>
  <si>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</si>
  <si>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</si>
  <si>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</si>
  <si>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</si>
  <si>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</si>
  <si>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</si>
  <si>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</si>
  <si>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</si>
  <si>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</si>
  <si>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</si>
  <si>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</si>
  <si>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</si>
  <si>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</si>
  <si>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</si>
  <si>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</si>
  <si>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</si>
  <si>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</si>
  <si>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</si>
  <si>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</si>
  <si>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</si>
  <si>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</si>
  <si>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</si>
  <si>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</si>
  <si>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</si>
  <si>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</si>
  <si>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</si>
  <si>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</si>
  <si>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</si>
  <si>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</si>
  <si>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</si>
  <si>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</si>
  <si>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</si>
  <si>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</si>
  <si>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</si>
  <si>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</si>
  <si>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</si>
  <si>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</si>
  <si>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</si>
  <si>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</si>
  <si>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</si>
  <si>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</si>
  <si>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</si>
  <si>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</si>
  <si>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</si>
  <si>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</si>
  <si>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</si>
  <si>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</si>
  <si>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</si>
  <si>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</si>
  <si>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</si>
  <si>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</si>
  <si>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</si>
  <si>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</si>
  <si>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</si>
  <si>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</si>
  <si>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</si>
  <si>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</si>
  <si>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</si>
  <si>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</si>
  <si>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</si>
  <si>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</si>
  <si>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</si>
  <si>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</si>
  <si>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</si>
  <si>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</si>
  <si>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</si>
  <si>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</si>
  <si>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</si>
  <si>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</si>
  <si>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</si>
  <si>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</si>
  <si>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</si>
  <si>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</si>
  <si>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</si>
  <si>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</si>
  <si>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</si>
  <si>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</si>
  <si>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</si>
  <si>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</si>
  <si>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</si>
  <si>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</si>
  <si>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</si>
  <si>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</si>
  <si>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</si>
  <si>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</si>
  <si>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</si>
  <si>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</si>
  <si>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</si>
  <si>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</si>
  <si>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</si>
  <si>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</si>
  <si>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</si>
  <si>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</si>
  <si>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</si>
  <si>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</si>
  <si>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</si>
  <si>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</si>
  <si>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</si>
  <si>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</si>
  <si>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</si>
  <si>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</si>
  <si>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</si>
  <si>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</si>
  <si>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</si>
  <si>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</si>
  <si>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</si>
  <si>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</si>
  <si>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</si>
  <si>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</si>
  <si>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</si>
  <si>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</si>
  <si>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</si>
  <si>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</si>
  <si>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</si>
  <si>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</si>
  <si>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</si>
  <si>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</si>
  <si>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</si>
  <si>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</si>
  <si>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</si>
  <si>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</si>
  <si>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</si>
  <si>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</si>
  <si>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</si>
  <si>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</si>
  <si>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</si>
  <si>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</si>
  <si>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</si>
  <si>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</si>
  <si>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</si>
  <si>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</si>
  <si>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</si>
  <si>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</si>
  <si>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</si>
  <si>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</si>
  <si>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</si>
  <si>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</si>
  <si>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</si>
  <si>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</si>
  <si>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</si>
  <si>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</si>
  <si>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</si>
  <si>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</si>
  <si>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</si>
  <si>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</si>
  <si>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</si>
  <si>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</si>
  <si>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</si>
  <si>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</si>
  <si>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</si>
  <si>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</si>
  <si>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</si>
  <si>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</si>
  <si>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</si>
  <si>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</si>
  <si>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</si>
  <si>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</si>
  <si>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</si>
  <si>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</si>
  <si>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</si>
  <si>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</si>
  <si>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</si>
  <si>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</si>
  <si>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</si>
  <si>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</si>
  <si>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</si>
  <si>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</si>
  <si>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</si>
  <si>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</si>
  <si>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</si>
  <si>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</si>
  <si>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</si>
  <si>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</si>
  <si>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</si>
  <si>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</si>
  <si>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</si>
  <si>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</si>
  <si>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</si>
  <si>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</si>
  <si>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</si>
  <si>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</si>
  <si>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</si>
  <si>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</si>
  <si>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</si>
  <si>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</si>
  <si>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</si>
  <si>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</si>
  <si>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</si>
  <si>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</si>
  <si>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</si>
  <si>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</si>
  <si>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</si>
  <si>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</si>
  <si>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</si>
  <si>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</si>
  <si>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</si>
  <si>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</si>
  <si>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</si>
  <si>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</si>
  <si>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</si>
  <si>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</si>
  <si>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</si>
  <si>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</si>
  <si>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</si>
  <si>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</si>
  <si>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</si>
  <si>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</si>
  <si>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</si>
  <si>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</si>
  <si>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</si>
  <si>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</si>
  <si>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</si>
  <si>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</si>
  <si>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</si>
  <si>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</si>
  <si>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</si>
  <si>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</si>
  <si>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</si>
  <si>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</si>
  <si>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</si>
  <si>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</si>
  <si>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</si>
  <si>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</si>
  <si>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</si>
  <si>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</si>
  <si>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</si>
  <si>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</si>
  <si>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</si>
  <si>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</si>
  <si>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</si>
  <si>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</si>
  <si>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</si>
  <si>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</si>
  <si>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</si>
  <si>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</si>
  <si>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</si>
  <si>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</si>
  <si>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</si>
  <si>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</si>
  <si>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</si>
  <si>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</si>
  <si>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</si>
  <si>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</si>
  <si>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</si>
  <si>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</si>
  <si>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</si>
  <si>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</si>
  <si>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</si>
  <si>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</si>
  <si>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</si>
  <si>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</si>
  <si>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</si>
  <si>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</si>
  <si>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</si>
  <si>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</si>
  <si>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</si>
  <si>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</si>
  <si>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</si>
  <si>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</si>
  <si>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</si>
  <si>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</si>
  <si>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</si>
  <si>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</si>
  <si>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</si>
  <si>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</si>
  <si>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</si>
  <si>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</si>
  <si>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</si>
  <si>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</si>
  <si>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</si>
  <si>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</si>
  <si>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</si>
  <si>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</si>
  <si>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</si>
  <si>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</si>
  <si>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</si>
  <si>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</si>
  <si>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</si>
  <si>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</si>
  <si>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</si>
  <si>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</si>
  <si>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</si>
  <si>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</si>
  <si>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</si>
  <si>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</si>
  <si>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</si>
  <si>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</si>
  <si>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</si>
  <si>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</si>
  <si>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</si>
  <si>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</si>
  <si>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</si>
  <si>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</si>
  <si>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</si>
  <si>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</si>
  <si>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</si>
  <si>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</si>
  <si>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</si>
  <si>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</si>
  <si>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</si>
  <si>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</si>
  <si>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</si>
  <si>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</si>
  <si>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</si>
  <si>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</si>
  <si>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</si>
  <si>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</si>
  <si>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</si>
  <si>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</si>
  <si>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</si>
  <si>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</si>
  <si>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</si>
  <si>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</si>
  <si>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</si>
  <si>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</si>
  <si>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</si>
  <si>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</si>
  <si>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</si>
  <si>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</si>
  <si>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</si>
  <si>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</si>
  <si>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</si>
  <si>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</si>
  <si>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</si>
  <si>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</si>
  <si>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</si>
  <si>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</si>
  <si>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</si>
  <si>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</si>
  <si>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</si>
  <si>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</si>
  <si>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</si>
  <si>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</si>
  <si>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</si>
  <si>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</si>
  <si>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</si>
  <si>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</si>
  <si>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</si>
  <si>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</si>
  <si>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</si>
  <si>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</si>
  <si>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</si>
  <si>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</si>
  <si>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</si>
  <si>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</si>
  <si>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</si>
  <si>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</si>
  <si>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</si>
  <si>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</si>
  <si>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</si>
  <si>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</si>
  <si>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</si>
  <si>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</si>
  <si>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</si>
  <si>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</si>
  <si>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</si>
  <si>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</si>
  <si>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</si>
  <si>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</si>
  <si>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</si>
  <si>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</si>
  <si>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</si>
  <si>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</si>
  <si>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</si>
  <si>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</si>
  <si>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</si>
  <si>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</si>
  <si>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</si>
  <si>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</si>
  <si>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</si>
  <si>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</si>
  <si>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</si>
  <si>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</si>
  <si>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</si>
  <si>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</si>
  <si>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</si>
  <si>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</si>
  <si>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</si>
  <si>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</si>
  <si>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</si>
  <si>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</si>
  <si>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</si>
  <si>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</si>
  <si>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</si>
  <si>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</si>
  <si>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</si>
  <si>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</si>
  <si>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</si>
  <si>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</si>
  <si>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</si>
  <si>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</si>
  <si>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</si>
  <si>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</si>
  <si>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</si>
  <si>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</si>
  <si>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</si>
  <si>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</si>
  <si>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</si>
  <si>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</si>
  <si>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</si>
  <si>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</si>
  <si>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</si>
  <si>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</si>
  <si>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</si>
  <si>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</si>
  <si>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</si>
  <si>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</si>
  <si>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</si>
  <si>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</si>
  <si>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</si>
  <si>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</si>
  <si>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</si>
  <si>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</si>
  <si>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</si>
  <si>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</si>
  <si>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</si>
  <si>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</si>
  <si>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</si>
  <si>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</si>
  <si>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</si>
  <si>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</si>
  <si>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</si>
  <si>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</si>
  <si>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</si>
  <si>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</si>
  <si>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</si>
  <si>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</si>
  <si>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</si>
  <si>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</si>
  <si>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</si>
  <si>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</si>
  <si>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</si>
  <si>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</si>
  <si>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</si>
  <si>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</si>
  <si>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</si>
  <si>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</si>
  <si>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</si>
  <si>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</si>
  <si>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</si>
  <si>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</si>
  <si>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</si>
  <si>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</si>
  <si>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</si>
  <si>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</si>
  <si>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</si>
  <si>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</si>
  <si>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</si>
  <si>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</si>
  <si>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</si>
  <si>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</si>
  <si>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</si>
  <si>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</si>
  <si>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</si>
  <si>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</si>
  <si>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</si>
  <si>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</si>
  <si>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</si>
  <si>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</si>
  <si>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</si>
  <si>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</si>
  <si>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</si>
  <si>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</si>
  <si>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</si>
  <si>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</si>
  <si>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</si>
  <si>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</si>
  <si>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</si>
  <si>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</si>
  <si>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</si>
  <si>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</si>
  <si>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</si>
  <si>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</si>
  <si>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</si>
  <si>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</si>
  <si>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</si>
  <si>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</si>
  <si>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</si>
  <si>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</si>
  <si>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</si>
  <si>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</si>
  <si>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</si>
  <si>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</si>
  <si>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</si>
  <si>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</si>
  <si>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</si>
  <si>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</si>
  <si>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</si>
  <si>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</si>
  <si>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</si>
  <si>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</si>
  <si>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</si>
  <si>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</si>
  <si>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</si>
  <si>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</si>
  <si>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</si>
  <si>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</si>
  <si>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</si>
  <si>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</si>
  <si>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</si>
  <si>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</si>
  <si>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</si>
  <si>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</si>
  <si>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</si>
  <si>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</si>
  <si>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</si>
  <si>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</si>
  <si>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</si>
  <si>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</si>
  <si>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</si>
  <si>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</si>
  <si>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</si>
  <si>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</si>
  <si>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</si>
  <si>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</si>
  <si>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</si>
  <si>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</si>
  <si>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</si>
  <si>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</si>
  <si>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</si>
  <si>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</si>
  <si>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</si>
  <si>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</si>
  <si>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</si>
  <si>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</si>
  <si>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</si>
  <si>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</si>
  <si>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</si>
  <si>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</si>
  <si>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</si>
  <si>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</si>
  <si>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</si>
  <si>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</si>
  <si>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</si>
  <si>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</si>
  <si>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</si>
  <si>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</si>
  <si>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</si>
  <si>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</si>
  <si>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</si>
  <si>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</si>
  <si>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</si>
  <si>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</si>
  <si>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</si>
  <si>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</si>
  <si>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</si>
  <si>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</si>
  <si>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</si>
  <si>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</si>
  <si>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</si>
  <si>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</si>
  <si>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</si>
  <si>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</si>
  <si>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</si>
  <si>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</si>
  <si>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</si>
  <si>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</si>
  <si>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</si>
  <si>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</si>
  <si>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</si>
  <si>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</si>
  <si>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</si>
  <si>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</si>
  <si>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</si>
  <si>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</si>
  <si>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</si>
  <si>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</si>
  <si>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</si>
  <si>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</si>
  <si>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</si>
  <si>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</si>
  <si>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</si>
  <si>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</si>
  <si>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</si>
  <si>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</si>
  <si>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</si>
  <si>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</si>
  <si>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</si>
  <si>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</si>
  <si>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</si>
  <si>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</si>
  <si>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</si>
  <si>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</si>
  <si>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</si>
  <si>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</si>
  <si>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</si>
  <si>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</si>
  <si>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</si>
  <si>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</si>
  <si>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</si>
  <si>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</si>
  <si>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</si>
  <si>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</si>
  <si>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</si>
  <si>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</si>
  <si>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</si>
  <si>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</si>
  <si>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</si>
  <si>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</si>
  <si>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</si>
  <si>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</si>
  <si>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</si>
  <si>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</si>
  <si>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</si>
  <si>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</si>
  <si>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</si>
  <si>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</si>
  <si>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</si>
  <si>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</si>
  <si>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</si>
  <si>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</si>
  <si>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</si>
  <si>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</si>
  <si>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</si>
  <si>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</si>
  <si>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</si>
  <si>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</si>
  <si>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</si>
  <si>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</si>
  <si>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</si>
  <si>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</si>
  <si>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</si>
  <si>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</si>
  <si>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</si>
  <si>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</si>
  <si>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</si>
  <si>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</si>
  <si>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</si>
  <si>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</si>
  <si>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</si>
  <si>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</si>
  <si>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</si>
  <si>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</si>
  <si>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</si>
  <si>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</si>
  <si>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</si>
  <si>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</si>
  <si>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</si>
  <si>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</si>
  <si>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</si>
  <si>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</si>
  <si>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</si>
  <si>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</si>
  <si>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</si>
  <si>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</si>
  <si>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</si>
  <si>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</si>
  <si>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</si>
  <si>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</si>
  <si>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</si>
  <si>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</si>
  <si>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</si>
  <si>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</si>
  <si>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</si>
  <si>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</si>
  <si>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</si>
  <si>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</si>
  <si>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</si>
  <si>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</si>
  <si>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</si>
  <si>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</si>
  <si>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</si>
  <si>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</si>
  <si>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</si>
  <si>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</si>
  <si>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</si>
  <si>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</si>
  <si>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</si>
  <si>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</si>
  <si>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</si>
  <si>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</si>
  <si>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</si>
  <si>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</si>
  <si>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</si>
  <si>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</si>
  <si>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</si>
  <si>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</si>
  <si>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</si>
  <si>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</si>
  <si>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</si>
  <si>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</si>
  <si>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</si>
  <si>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</si>
  <si>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</si>
  <si>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</si>
  <si>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</si>
  <si>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</si>
  <si>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</si>
  <si>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</si>
  <si>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</si>
  <si>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</si>
  <si>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</si>
  <si>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</si>
  <si>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</si>
  <si>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</si>
  <si>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</si>
  <si>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</si>
  <si>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</si>
  <si>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</si>
  <si>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</si>
  <si>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</si>
  <si>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</si>
  <si>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</si>
  <si>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</si>
  <si>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</si>
  <si>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</si>
  <si>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</si>
  <si>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</si>
  <si>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</si>
  <si>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</si>
  <si>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</si>
  <si>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</si>
  <si>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</si>
  <si>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</si>
  <si>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</si>
  <si>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</si>
  <si>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</si>
  <si>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</si>
  <si>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</si>
  <si>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</si>
  <si>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</si>
  <si>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</si>
  <si>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</si>
  <si>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</si>
  <si>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</si>
  <si>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</si>
  <si>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</si>
  <si>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</si>
  <si>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</si>
  <si>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</si>
  <si>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</si>
  <si>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</si>
  <si>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</si>
  <si>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</si>
  <si>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</si>
  <si>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</si>
  <si>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</si>
  <si>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</si>
  <si>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</si>
  <si>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</si>
  <si>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</si>
  <si>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</si>
  <si>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</si>
  <si>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</si>
  <si>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</si>
  <si>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</si>
  <si>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</si>
  <si>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</si>
  <si>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</si>
  <si>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</si>
  <si>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</si>
  <si>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</si>
  <si>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</si>
  <si>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</si>
  <si>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</si>
  <si>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</si>
  <si>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</si>
  <si>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</si>
  <si>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</si>
  <si>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</si>
  <si>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</si>
  <si>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</si>
  <si>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</si>
  <si>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</si>
  <si>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</si>
  <si>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</si>
  <si>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</si>
  <si>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</si>
  <si>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</si>
  <si>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</si>
  <si>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</si>
  <si>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</si>
  <si>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</si>
  <si>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</si>
  <si>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</si>
  <si>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</si>
  <si>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</si>
  <si>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</si>
  <si>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</si>
  <si>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</si>
  <si>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</si>
  <si>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</si>
  <si>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</si>
  <si>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</si>
  <si>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</si>
  <si>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</si>
  <si>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</si>
  <si>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</si>
  <si>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</si>
  <si>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</si>
  <si>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</si>
  <si>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</si>
  <si>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</si>
  <si>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</si>
  <si>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</si>
  <si>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</si>
  <si>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</si>
  <si>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</si>
  <si>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</si>
  <si>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</si>
  <si>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</si>
  <si>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</si>
  <si>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</si>
  <si>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</si>
  <si>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</si>
  <si>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</si>
  <si>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</si>
  <si>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</si>
  <si>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</si>
  <si>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</si>
  <si>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</si>
  <si>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</si>
  <si>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</si>
  <si>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</si>
  <si>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</si>
  <si>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</si>
  <si>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</si>
  <si>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</si>
  <si>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</si>
  <si>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</si>
  <si>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</si>
  <si>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</si>
  <si>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</si>
  <si>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</si>
  <si>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</si>
  <si>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</si>
  <si>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</si>
  <si>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</si>
  <si>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</si>
  <si>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</si>
  <si>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</si>
  <si>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</si>
  <si>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</si>
  <si>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</si>
  <si>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</si>
  <si>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</si>
  <si>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</si>
  <si>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</si>
  <si>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</si>
  <si>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</si>
  <si>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</si>
  <si>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</si>
  <si>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</si>
  <si>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</si>
  <si>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</si>
  <si>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</si>
  <si>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</si>
  <si>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</si>
  <si>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</si>
  <si>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</si>
  <si>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</si>
  <si>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</si>
  <si>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</si>
  <si>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</si>
  <si>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</si>
  <si>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</si>
  <si>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</si>
  <si>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</si>
  <si>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</si>
  <si>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</si>
  <si>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</si>
  <si>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</si>
  <si>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</si>
  <si>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</si>
  <si>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</si>
  <si>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</si>
  <si>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</si>
  <si>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</si>
  <si>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</si>
  <si>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</si>
  <si>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</si>
  <si>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</si>
  <si>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</si>
  <si>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</si>
  <si>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</si>
  <si>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</si>
  <si>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</si>
  <si>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</si>
  <si>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</si>
  <si>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</si>
  <si>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</si>
  <si>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</si>
  <si>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</si>
  <si>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</si>
  <si>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</si>
  <si>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</si>
  <si>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</si>
  <si>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</si>
  <si>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</si>
  <si>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</si>
  <si>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</si>
  <si>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</si>
  <si>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</si>
  <si>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</si>
  <si>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</si>
  <si>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</si>
  <si>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</si>
  <si>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</si>
  <si>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</si>
  <si>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</si>
  <si>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</si>
  <si>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</si>
  <si>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</si>
  <si>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</si>
  <si>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</si>
  <si>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</si>
  <si>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</si>
  <si>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</si>
  <si>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</si>
  <si>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</si>
  <si>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</si>
  <si>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</si>
  <si>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</si>
  <si>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</si>
  <si>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</si>
  <si>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</si>
  <si>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</si>
  <si>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</si>
  <si>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</si>
  <si>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</si>
  <si>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</si>
  <si>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</si>
  <si>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</si>
  <si>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</si>
  <si>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</si>
  <si>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</si>
  <si>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</si>
  <si>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</si>
  <si>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</si>
  <si>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</si>
  <si>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</si>
  <si>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</si>
  <si>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</si>
  <si>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</si>
  <si>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</si>
  <si>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</si>
  <si>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</si>
  <si>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</si>
  <si>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</si>
  <si>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</si>
  <si>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</si>
  <si>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</si>
  <si>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</si>
  <si>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</si>
  <si>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</si>
  <si>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</si>
  <si>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</si>
  <si>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</si>
  <si>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</si>
  <si>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</si>
  <si>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</si>
  <si>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</si>
  <si>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</si>
  <si>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</si>
  <si>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</si>
  <si>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</si>
  <si>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</si>
  <si>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</si>
  <si>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</si>
  <si>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</si>
  <si>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</si>
  <si>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</si>
  <si>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</si>
  <si>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</si>
  <si>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</si>
  <si>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</si>
  <si>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</si>
  <si>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</si>
  <si>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</si>
  <si>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</si>
  <si>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</si>
  <si>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</si>
  <si>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</si>
  <si>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</si>
  <si>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</si>
  <si>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</si>
  <si>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</si>
  <si>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</si>
  <si>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</si>
  <si>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</si>
  <si>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</si>
  <si>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</si>
  <si>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</si>
  <si>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</si>
  <si>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</si>
  <si>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</si>
  <si>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</si>
  <si>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</si>
  <si>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</si>
  <si>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</si>
  <si>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</si>
  <si>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</si>
  <si>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</si>
  <si>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</si>
  <si>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</si>
  <si>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</si>
  <si>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</si>
  <si>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</si>
  <si>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</si>
  <si>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</si>
  <si>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</si>
  <si>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</si>
  <si>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</si>
  <si>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</si>
  <si>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</si>
  <si>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</si>
  <si>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</si>
  <si>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</si>
  <si>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</si>
  <si>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</si>
  <si>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</si>
  <si>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</si>
  <si>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</si>
  <si>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</si>
  <si>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</si>
  <si>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</si>
  <si>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</si>
  <si>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</si>
  <si>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</si>
  <si>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</si>
  <si>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</si>
  <si>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</si>
  <si>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</si>
  <si>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</si>
  <si>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</si>
  <si>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</si>
  <si>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</si>
  <si>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</si>
  <si>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</si>
  <si>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</si>
  <si>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</si>
  <si>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</si>
  <si>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</si>
  <si>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</si>
  <si>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</si>
  <si>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</si>
  <si>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</si>
  <si>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</si>
  <si>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</si>
  <si>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</si>
  <si>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</si>
  <si>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</si>
  <si>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</si>
  <si>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</si>
  <si>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</si>
  <si>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</si>
  <si>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</si>
  <si>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</si>
  <si>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</si>
  <si>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</si>
  <si>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</si>
  <si>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</si>
  <si>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</si>
  <si>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</si>
  <si>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</si>
  <si>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</si>
  <si>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</si>
  <si>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</si>
  <si>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</si>
  <si>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</si>
  <si>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</si>
  <si>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</si>
  <si>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</si>
  <si>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</si>
  <si>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</si>
  <si>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</si>
  <si>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</si>
  <si>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</si>
  <si>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</si>
  <si>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</si>
  <si>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</si>
  <si>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</si>
  <si>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</si>
  <si>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</si>
  <si>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</si>
  <si>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</si>
  <si>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</si>
  <si>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</si>
  <si>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</si>
  <si>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</si>
  <si>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</si>
  <si>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</si>
  <si>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</si>
  <si>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</si>
  <si>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</si>
  <si>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</si>
  <si>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</si>
  <si>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</si>
  <si>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</si>
  <si>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</si>
  <si>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</si>
  <si>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</si>
  <si>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</si>
  <si>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</si>
  <si>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</si>
  <si>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</si>
  <si>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</si>
  <si>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</si>
  <si>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</si>
  <si>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</si>
  <si>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</si>
  <si>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</si>
  <si>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</si>
  <si>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</si>
  <si>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</si>
  <si>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</si>
  <si>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</si>
  <si>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</si>
  <si>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</si>
  <si>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</si>
  <si>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</si>
  <si>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</si>
  <si>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</si>
  <si>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</si>
  <si>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</si>
  <si>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</si>
  <si>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</si>
  <si>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</si>
  <si>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</si>
  <si>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</si>
  <si>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</si>
  <si>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</si>
  <si>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</si>
  <si>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</si>
  <si>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</si>
  <si>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</si>
  <si>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</si>
  <si>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</si>
  <si>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</si>
  <si>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</si>
  <si>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</si>
  <si>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</si>
  <si>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</si>
  <si>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</si>
  <si>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</si>
  <si>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</si>
  <si>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</si>
  <si>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</si>
  <si>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</si>
  <si>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</si>
  <si>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</si>
  <si>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</si>
  <si>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</si>
  <si>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</si>
  <si>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</si>
  <si>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</si>
  <si>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</si>
  <si>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</si>
  <si>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</si>
  <si>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</si>
  <si>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</si>
  <si>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</si>
  <si>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</si>
  <si>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</si>
  <si>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</si>
  <si>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</si>
  <si>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</si>
  <si>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</si>
  <si>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</si>
  <si>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</si>
  <si>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</si>
  <si>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</si>
  <si>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</si>
  <si>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</si>
  <si>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</si>
  <si>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</si>
  <si>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</si>
  <si>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</si>
  <si>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</si>
  <si>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</si>
  <si>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</si>
  <si>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</si>
  <si>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</si>
  <si>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</si>
  <si>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</si>
  <si>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</si>
  <si>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</si>
  <si>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</si>
  <si>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</si>
  <si>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</si>
  <si>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</si>
  <si>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</si>
  <si>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</si>
  <si>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</si>
  <si>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</si>
  <si>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</si>
  <si>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</si>
  <si>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</si>
  <si>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</si>
  <si>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</si>
  <si>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</si>
  <si>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</si>
  <si>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</si>
  <si>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</si>
  <si>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</si>
  <si>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</si>
  <si>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</si>
  <si>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</si>
  <si>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</si>
  <si>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</si>
  <si>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</si>
  <si>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</si>
  <si>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</si>
  <si>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</si>
  <si>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</si>
  <si>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</si>
  <si>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</si>
  <si>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</si>
  <si>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</si>
  <si>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</si>
  <si>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</si>
  <si>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</si>
  <si>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</si>
  <si>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</si>
  <si>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</si>
  <si>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</si>
  <si>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</si>
  <si>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</si>
  <si>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</si>
  <si>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</si>
  <si>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</si>
  <si>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</si>
  <si>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</si>
  <si>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</si>
  <si>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</si>
  <si>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</si>
  <si>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</si>
  <si>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</si>
  <si>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</si>
  <si>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</si>
  <si>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</si>
  <si>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</si>
  <si>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</si>
  <si>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</si>
  <si>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</si>
  <si>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</si>
  <si>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</si>
  <si>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</si>
  <si>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</si>
  <si>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</si>
  <si>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</si>
  <si>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</si>
  <si>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</si>
  <si>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</si>
  <si>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</si>
  <si>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</si>
  <si>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</si>
  <si>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</si>
  <si>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</si>
  <si>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</si>
  <si>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</si>
  <si>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</si>
  <si>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</si>
  <si>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</si>
  <si>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</si>
  <si>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</si>
  <si>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</si>
  <si>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</si>
  <si>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</si>
  <si>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</si>
  <si>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</si>
  <si>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</si>
  <si>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</si>
  <si>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</si>
  <si>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</si>
  <si>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</si>
  <si>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</si>
  <si>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</si>
  <si>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</si>
  <si>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</si>
  <si>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</si>
  <si>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</si>
  <si>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</si>
  <si>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</si>
  <si>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</si>
  <si>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</si>
  <si>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</si>
  <si>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</si>
  <si>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</si>
  <si>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</si>
  <si>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</si>
  <si>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</si>
  <si>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</si>
  <si>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</si>
  <si>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</si>
  <si>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</si>
  <si>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</si>
  <si>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</si>
  <si>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</si>
  <si>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</si>
  <si>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</si>
  <si>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</si>
  <si>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</si>
  <si>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</si>
  <si>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</si>
  <si>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</si>
  <si>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</si>
  <si>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</si>
  <si>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</si>
  <si>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</si>
  <si>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</si>
  <si>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</si>
  <si>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</si>
  <si>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</si>
  <si>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</si>
  <si>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</si>
  <si>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</si>
  <si>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</si>
  <si>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</si>
  <si>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</si>
  <si>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</si>
  <si>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</si>
  <si>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</si>
  <si>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</si>
  <si>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</si>
  <si>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</si>
  <si>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</si>
  <si>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</si>
  <si>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</si>
  <si>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</si>
  <si>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</si>
  <si>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</si>
  <si>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</si>
  <si>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</si>
  <si>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</si>
  <si>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</si>
  <si>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</si>
  <si>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</si>
  <si>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</si>
  <si>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</si>
  <si>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</si>
  <si>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</si>
  <si>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</si>
  <si>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</si>
  <si>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</si>
  <si>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</si>
  <si>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</si>
  <si>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</si>
  <si>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</si>
  <si>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</si>
  <si>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</si>
  <si>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</si>
  <si>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</si>
  <si>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</si>
  <si>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</si>
  <si>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</si>
  <si>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</si>
  <si>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</si>
  <si>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</si>
  <si>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</si>
  <si>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</si>
  <si>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</si>
  <si>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</si>
  <si>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</si>
  <si>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</si>
  <si>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</si>
  <si>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</si>
  <si>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</si>
  <si>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</si>
  <si>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</si>
  <si>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</si>
  <si>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</si>
  <si>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</si>
  <si>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</si>
  <si>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</si>
  <si>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</si>
  <si>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</si>
  <si>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</si>
  <si>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</si>
  <si>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</si>
  <si>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</si>
  <si>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</si>
  <si>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</si>
  <si>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</si>
  <si>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</si>
  <si>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</si>
  <si>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</si>
  <si>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</si>
  <si>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</si>
  <si>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</si>
  <si>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</si>
  <si>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</si>
  <si>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</si>
  <si>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</si>
  <si>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</si>
  <si>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</si>
  <si>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</si>
  <si>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</si>
  <si>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</si>
  <si>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</si>
  <si>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</si>
  <si>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</si>
  <si>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</si>
  <si>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</si>
  <si>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</si>
  <si>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</si>
  <si>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</si>
  <si>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</si>
  <si>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</si>
  <si>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</si>
  <si>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</si>
  <si>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</si>
  <si>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</si>
  <si>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</si>
  <si>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</si>
  <si>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</si>
  <si>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</si>
  <si>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</si>
  <si>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</si>
  <si>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</si>
  <si>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</si>
  <si>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</si>
  <si>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</si>
  <si>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</si>
  <si>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</si>
  <si>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</si>
  <si>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</si>
  <si>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</si>
  <si>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</si>
  <si>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</si>
  <si>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</si>
  <si>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</si>
  <si>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</si>
  <si>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</si>
  <si>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</si>
  <si>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</si>
  <si>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</si>
  <si>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</si>
  <si>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</si>
  <si>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</si>
  <si>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</si>
  <si>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</si>
  <si>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</si>
  <si>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</si>
  <si>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</si>
  <si>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</si>
  <si>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</si>
  <si>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</si>
  <si>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</si>
  <si>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</si>
  <si>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</si>
  <si>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</si>
  <si>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</si>
  <si>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</si>
  <si>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</si>
  <si>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</si>
  <si>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</si>
  <si>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</si>
  <si>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</si>
  <si>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</si>
  <si>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</si>
  <si>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</si>
  <si>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</si>
  <si>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</si>
  <si>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</si>
  <si>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</si>
  <si>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</si>
  <si>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</si>
  <si>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</si>
  <si>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</si>
  <si>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</si>
  <si>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</si>
  <si>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</si>
  <si>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</si>
  <si>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</si>
  <si>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</si>
  <si>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</si>
  <si>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</si>
  <si>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</si>
  <si>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</si>
  <si>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</si>
  <si>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</si>
  <si>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</si>
  <si>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</si>
  <si>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</si>
  <si>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</si>
  <si>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</si>
  <si>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</si>
  <si>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</si>
  <si>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</si>
  <si>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</si>
  <si>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</si>
  <si>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</si>
  <si>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</si>
  <si>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</si>
  <si>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</si>
  <si>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</si>
  <si>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</si>
  <si>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</si>
  <si>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</si>
  <si>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</si>
  <si>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</si>
  <si>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</si>
  <si>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</si>
  <si>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</si>
  <si>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</si>
  <si>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</si>
  <si>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</si>
  <si>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</si>
  <si>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</si>
  <si>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</si>
  <si>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</si>
  <si>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</si>
  <si>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</si>
  <si>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</si>
  <si>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</si>
  <si>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</si>
  <si>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</si>
  <si>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</si>
  <si>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</si>
  <si>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</si>
  <si>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</si>
  <si>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</si>
  <si>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</si>
  <si>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</si>
  <si>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</si>
  <si>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</si>
  <si>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</si>
  <si>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</si>
  <si>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</si>
  <si>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</si>
  <si>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</si>
  <si>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</si>
  <si>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</si>
  <si>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</si>
  <si>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</si>
  <si>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</si>
  <si>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</si>
  <si>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</si>
  <si>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</si>
  <si>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</si>
  <si>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</si>
  <si>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</si>
  <si>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</si>
  <si>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</si>
  <si>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</si>
  <si>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</si>
  <si>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</si>
  <si>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</si>
  <si>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</si>
  <si>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</si>
  <si>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</si>
  <si>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</si>
  <si>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</si>
  <si>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</si>
  <si>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</si>
  <si>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</si>
  <si>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</si>
  <si>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</si>
  <si>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</si>
  <si>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</si>
  <si>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</si>
  <si>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</si>
  <si>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</si>
  <si>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</si>
  <si>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</si>
  <si>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</si>
  <si>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</si>
  <si>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</si>
  <si>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</si>
  <si>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</si>
  <si>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</si>
  <si>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</si>
  <si>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</si>
  <si>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</si>
  <si>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</si>
  <si>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</si>
  <si>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</si>
  <si>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</si>
  <si>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</si>
  <si>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</si>
  <si>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</si>
  <si>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</si>
  <si>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</si>
  <si>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</si>
  <si>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</si>
  <si>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</si>
  <si>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</si>
  <si>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</si>
  <si>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</si>
  <si>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</si>
  <si>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</si>
  <si>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</si>
  <si>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</si>
  <si>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</si>
  <si>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</si>
  <si>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</si>
  <si>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</si>
  <si>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</si>
  <si>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</si>
  <si>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</si>
  <si>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</si>
  <si>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</si>
  <si>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</si>
  <si>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</si>
  <si>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</si>
  <si>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</si>
  <si>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</si>
  <si>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</si>
  <si>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</si>
  <si>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</si>
  <si>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</si>
  <si>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</si>
  <si>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</si>
  <si>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</si>
  <si>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</si>
  <si>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</si>
  <si>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</si>
  <si>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</si>
  <si>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</si>
  <si>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</si>
  <si>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</si>
  <si>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</si>
  <si>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</si>
  <si>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</si>
  <si>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</si>
  <si>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</si>
  <si>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</si>
  <si>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</si>
  <si>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</si>
  <si>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</si>
  <si>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</si>
  <si>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</si>
  <si>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</si>
  <si>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</si>
  <si>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</si>
  <si>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</si>
  <si>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</si>
  <si>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</si>
  <si>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</si>
  <si>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</si>
  <si>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</si>
  <si>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</si>
  <si>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</si>
  <si>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</si>
  <si>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</si>
  <si>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</si>
  <si>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</si>
  <si>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</si>
  <si>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</si>
  <si>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</si>
  <si>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</si>
  <si>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</si>
  <si>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</si>
  <si>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</si>
  <si>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</si>
  <si>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</si>
  <si>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</si>
  <si>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</si>
  <si>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</si>
  <si>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</si>
  <si>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</si>
  <si>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</si>
  <si>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</si>
  <si>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</si>
  <si>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</si>
  <si>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</si>
  <si>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</si>
  <si>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</si>
  <si>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</si>
  <si>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</si>
  <si>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</si>
  <si>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</si>
  <si>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</si>
  <si>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</si>
  <si>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</si>
  <si>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</si>
  <si>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</si>
  <si>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</si>
  <si>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</si>
  <si>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</si>
  <si>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</si>
  <si>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</si>
  <si>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</si>
  <si>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江北新区广西埂大街以南,迎江路以东地块</t>
  </si>
  <si>
    <t>南京市</t>
  </si>
  <si>
    <t>住宅用地</t>
  </si>
  <si>
    <t>浦口区</t>
  </si>
  <si>
    <t>东至规划幼儿园及社区中心,南至规划道路,西至迎江路,北至广西梗大街</t>
  </si>
  <si>
    <t>挂牌</t>
  </si>
  <si>
    <t>NO.新区2019G06</t>
  </si>
  <si>
    <t>R2二类居住用地</t>
  </si>
  <si>
    <t>≥1.01且≤2.4</t>
  </si>
  <si>
    <t>≤20%</t>
  </si>
  <si>
    <t>≤80</t>
  </si>
  <si>
    <t>限地价,竞自持</t>
  </si>
  <si>
    <t>限地价</t>
  </si>
  <si>
    <t>未开工</t>
  </si>
  <si>
    <t>2019-05-09</t>
  </si>
  <si>
    <t>2019-06-01</t>
  </si>
  <si>
    <t>2019-06-12</t>
  </si>
  <si>
    <t>2019年宁新区出第03号</t>
  </si>
  <si>
    <t>已成交</t>
  </si>
  <si>
    <t>卓越置业集团(南京)有限公司</t>
  </si>
  <si>
    <t>3星</t>
  </si>
  <si>
    <t>江北新区七里河大街以北、江北快速路以东地块</t>
  </si>
  <si>
    <t>东至规划道路,南至七里河大街,西至江北快速路,北至青龙绿带</t>
  </si>
  <si>
    <t>NO.新区2019G08</t>
  </si>
  <si>
    <t>≤60</t>
  </si>
  <si>
    <t>南昌世欧房地产开发有限公司</t>
  </si>
  <si>
    <t>江北新区江北快速路以西、规划道路以南地块</t>
  </si>
  <si>
    <t>东至江北快速路,南至七里河大街,西至规划道路,北至规划道路</t>
  </si>
  <si>
    <t>NO.新区2019G07</t>
  </si>
  <si>
    <t>≥1.01且≤1.5</t>
  </si>
  <si>
    <t>≤25%</t>
  </si>
  <si>
    <t>≤35</t>
  </si>
  <si>
    <t>南京栖霞建设股份有限公司</t>
  </si>
  <si>
    <t>江北新区铁院路以东、吉庆路以北地块</t>
  </si>
  <si>
    <t>东至东圩路,南至吉庆路,西至铁院路,北至规划中学</t>
  </si>
  <si>
    <t>NO.新区2019G05</t>
  </si>
  <si>
    <t>≥1.01且≤2.5</t>
  </si>
  <si>
    <t>≤100</t>
  </si>
  <si>
    <t>融侨集团股份有限公司</t>
  </si>
  <si>
    <t>4星</t>
  </si>
  <si>
    <t>江北新区天浦路以北、浦滨路以东地块</t>
  </si>
  <si>
    <t>综合用地(含住宅)</t>
  </si>
  <si>
    <t>东至望江路,南至天浦路,西至浦滨路,北至兴隆路</t>
  </si>
  <si>
    <t>NO.新区2019G04</t>
  </si>
  <si>
    <t>Bb商办混合用地Rb商住混合用地</t>
  </si>
  <si>
    <t>≤3.31</t>
  </si>
  <si>
    <t>/</t>
  </si>
  <si>
    <t>2019-05-05</t>
  </si>
  <si>
    <t>2019-05-25</t>
  </si>
  <si>
    <t>2019-06-05</t>
  </si>
  <si>
    <t>2019年宁新区出第02号</t>
  </si>
  <si>
    <t>南京威丰房地产开发有限公司</t>
  </si>
  <si>
    <t>住宅*70年商业办公40年</t>
  </si>
  <si>
    <t>5星</t>
  </si>
  <si>
    <t>江北新区浦珠北路东侧、华江路北侧19-05商住地块</t>
  </si>
  <si>
    <t>NO.新区2019G01</t>
  </si>
  <si>
    <t>Rb商住混合用地</t>
  </si>
  <si>
    <t>≤2.5</t>
  </si>
  <si>
    <t>≤40%</t>
  </si>
  <si>
    <t>2019-04-02</t>
  </si>
  <si>
    <t>2019-04-27</t>
  </si>
  <si>
    <t>2019-05-07</t>
  </si>
  <si>
    <t>2019年宁新区出第01号</t>
  </si>
  <si>
    <t>南京弘阳瑞尚房地产开发有限公司</t>
  </si>
  <si>
    <t>住宅70商业40</t>
  </si>
  <si>
    <t>浦口区江浦街道浦云路以东、紫创路以南01地块</t>
  </si>
  <si>
    <t>东至现状,南至园腾路,西至大华路,北至薛塘路。</t>
  </si>
  <si>
    <t>NO.2018G69</t>
  </si>
  <si>
    <t>租赁住房用地</t>
  </si>
  <si>
    <t>1.01≤容积率≤2.50</t>
  </si>
  <si>
    <t>≤35%</t>
  </si>
  <si>
    <t>含租赁用地</t>
  </si>
  <si>
    <t>2018-12-19</t>
  </si>
  <si>
    <t>2019-01-11</t>
  </si>
  <si>
    <t>2019-01-22</t>
  </si>
  <si>
    <t>2018年宁出第13号</t>
  </si>
  <si>
    <t>南京国立资产管理有限责任公司</t>
  </si>
  <si>
    <t>2星</t>
  </si>
  <si>
    <t>浦口区江浦街道新浦路北侧,康华路西侧地块</t>
  </si>
  <si>
    <t>东北至康华路,东南至新浦路,西南至康安路,西北至现状道路。</t>
  </si>
  <si>
    <t>NO.2018G56</t>
  </si>
  <si>
    <t>R21住宅用地Rc基层社区中心Rax幼托用地</t>
  </si>
  <si>
    <t>综合容积率:2.14</t>
  </si>
  <si>
    <t>2018-11-19</t>
  </si>
  <si>
    <t>2018-12-05</t>
  </si>
  <si>
    <t>2018-12-18</t>
  </si>
  <si>
    <t>2018年宁出第10号</t>
  </si>
  <si>
    <t>南京新城万嘉房地产有限公司</t>
  </si>
  <si>
    <t>住宅70年商业40年</t>
  </si>
  <si>
    <t>江北新区原锦湖轮胎-2地块</t>
  </si>
  <si>
    <t>东至划七路,南至龙山南路,西至现状,北至发展路。</t>
  </si>
  <si>
    <t>NO.新区2018G15</t>
  </si>
  <si>
    <t>Rac单身职工公寓用地</t>
  </si>
  <si>
    <t>≤2.0</t>
  </si>
  <si>
    <t>公共租赁房,</t>
  </si>
  <si>
    <t>2018-11-02</t>
  </si>
  <si>
    <t>2018-11-24</t>
  </si>
  <si>
    <t>2018年宁新区出第08号</t>
  </si>
  <si>
    <t>南京智能制造产业园建设发展有限公司</t>
  </si>
  <si>
    <t>70年</t>
  </si>
  <si>
    <t>江北新区原锦湖轮胎-1地块</t>
  </si>
  <si>
    <t>东至现状,南至龙山南路,西至创新路,北至发展路。</t>
  </si>
  <si>
    <t>NO.新区2018G14</t>
  </si>
  <si>
    <t>江北新区生物医药谷05-06-01地块</t>
  </si>
  <si>
    <t>东至永锦路,南至药谷大道,西至浦六路,北至永锦西路。</t>
  </si>
  <si>
    <t>NO.新区2018G16</t>
  </si>
  <si>
    <t>南京生物医药谷建设发展有限公司</t>
  </si>
  <si>
    <t>江北新区生物医药谷05-06-02地块</t>
  </si>
  <si>
    <t>东至永锦路,南至现状,西至浦六路,北至现状。</t>
  </si>
  <si>
    <t>NO.新区2018G17</t>
  </si>
  <si>
    <t>南京江北新区建设投资集团有限公司</t>
  </si>
  <si>
    <t>江北新区生物医药谷05-06-03地块</t>
  </si>
  <si>
    <t>东至永锦路,南至现状,西至浦六路,北至永锦西路。</t>
  </si>
  <si>
    <t>NO.新区2018G18</t>
  </si>
  <si>
    <t>南京江北新区产业投资集团有限公司</t>
  </si>
  <si>
    <t>江北新区研创园YCY-rac-001人才公寓地块</t>
  </si>
  <si>
    <t>东至慧谷路,南至团结路,西至规划道路,北至江淼路。</t>
  </si>
  <si>
    <t>NO.新区2018G19</t>
  </si>
  <si>
    <t>≤3.43</t>
  </si>
  <si>
    <t>南京软件园科技发展有限公司</t>
  </si>
  <si>
    <t>江北新区研创园云飞街以南、浦滨路以东地块</t>
  </si>
  <si>
    <t>NO.新区2018G08</t>
  </si>
  <si>
    <t>Bb商办混合用地Rb商住混合用地B1商业用地</t>
  </si>
  <si>
    <t>综合容积率:4.09</t>
  </si>
  <si>
    <t>2018-09-26</t>
  </si>
  <si>
    <t>2018-10-13</t>
  </si>
  <si>
    <t>2018-10-26</t>
  </si>
  <si>
    <t>2018年宁新区出第06号</t>
  </si>
  <si>
    <t>南京新浩宁房地产开发有限公司</t>
  </si>
  <si>
    <t>浦口区江浦街道雨山西路以西、广电路以南地块</t>
  </si>
  <si>
    <t>东至雨山西路,南至建设路,西至现状,北至现状。</t>
  </si>
  <si>
    <t>NO.2018G43</t>
  </si>
  <si>
    <t>R21住宅用地</t>
  </si>
  <si>
    <t>1.01≤far≤2.2</t>
  </si>
  <si>
    <t>≤22%</t>
  </si>
  <si>
    <t>开工中</t>
  </si>
  <si>
    <t>2018-08-07</t>
  </si>
  <si>
    <t>2018-08-27</t>
  </si>
  <si>
    <t>2018-09-07</t>
  </si>
  <si>
    <t>南京市本级挂[2018]宁出第08号</t>
  </si>
  <si>
    <t>重庆招商依云房地产有限公司(招商)</t>
  </si>
  <si>
    <t>浦口区江浦街道雨山南路以东、财八路以北地块</t>
  </si>
  <si>
    <t>东至雨山南路,南至财八路,西至现状,北至现状。</t>
  </si>
  <si>
    <t>NO.2018G37</t>
  </si>
  <si>
    <t>1.01≤far≤1.6</t>
  </si>
  <si>
    <t>限地价,现房销售</t>
  </si>
  <si>
    <t>竞自持</t>
  </si>
  <si>
    <t>2018-07-18</t>
  </si>
  <si>
    <t>2018-08-06</t>
  </si>
  <si>
    <t>2018-08-17</t>
  </si>
  <si>
    <t>2018年宁出第07号</t>
  </si>
  <si>
    <t>北京金隅地产开发集团有限公司</t>
  </si>
  <si>
    <t>浦口区江浦街道海桥路以南、绿水湾北路以东地块</t>
  </si>
  <si>
    <t>东至荣庄路,南至花莲路,西至绿水湾北路,北至海桥路。</t>
  </si>
  <si>
    <t>NO.2018G38</t>
  </si>
  <si>
    <t>B1商业用地R2二类居住用地Rc基层社区中心Rax幼托用地</t>
  </si>
  <si>
    <t>南京国资投资置业有限公司、南京金名城置业有限公司</t>
  </si>
  <si>
    <t>浦口区江浦街道文德东路南侧、康华路西侧地块</t>
  </si>
  <si>
    <t>东北至康华路、浦口区国税局用地,西北至文德东路,西南至珠江路,东南至现状。</t>
  </si>
  <si>
    <t>NO.2018G36</t>
  </si>
  <si>
    <t>R2二类居住用地Rc基层社区中心</t>
  </si>
  <si>
    <t>南京滨江雅居乐房地产开发有限公司</t>
  </si>
  <si>
    <t>江北新区浦滨路以东、万寿路以南地块</t>
  </si>
  <si>
    <t>东至火药洲路,南至临滁路,西至浦滨路,北至万寿路</t>
  </si>
  <si>
    <t>NO.新区2018G07</t>
  </si>
  <si>
    <t>1.01≤r≤2.2</t>
  </si>
  <si>
    <t>2018-07-09</t>
  </si>
  <si>
    <t>2018-07-30</t>
  </si>
  <si>
    <t>2018-08-10</t>
  </si>
  <si>
    <t>2018年宁新区出第05号</t>
  </si>
  <si>
    <t>重庆怡置房地产开发有限公司(香港置地)</t>
  </si>
  <si>
    <t>江北新区浦滨路以东、康盛路以南地块</t>
  </si>
  <si>
    <t>东至横江大道,南至河滨路,西至规划道路,北至康盛路。</t>
  </si>
  <si>
    <t>NO.新区2018G06</t>
  </si>
  <si>
    <t>中海地产集团有限公司</t>
  </si>
  <si>
    <t>浦口区江浦街道谢营3号地块</t>
  </si>
  <si>
    <t>东至城市快速通道,南至规划道路,西至珠泉西路,北至江淼路。</t>
  </si>
  <si>
    <t>NO.2018G21</t>
  </si>
  <si>
    <t>≥1.01且≤2.6</t>
  </si>
  <si>
    <t>限地价,竞配建</t>
  </si>
  <si>
    <t>2018-05-22</t>
  </si>
  <si>
    <t>2018-06-11</t>
  </si>
  <si>
    <t>2018-06-22</t>
  </si>
  <si>
    <t>2018年宁出第04号-1</t>
  </si>
  <si>
    <t>中粮鸿云置业南京有限公司</t>
  </si>
  <si>
    <t>江北新区浦滨路以东、康健路以南地块</t>
  </si>
  <si>
    <t>东至康盛路,南至康盛路,西至浦滨路,北至康健路。</t>
  </si>
  <si>
    <t>NO.新区2018G04</t>
  </si>
  <si>
    <t>R2二类居住用地A33c高中用地</t>
  </si>
  <si>
    <t>a分区:1＜r≤2.2;b分区:r≤1</t>
  </si>
  <si>
    <t>2018-05-17</t>
  </si>
  <si>
    <t>2018-06-08</t>
  </si>
  <si>
    <t>2018-06-20</t>
  </si>
  <si>
    <t>2018年宁新区出第04号-1</t>
  </si>
  <si>
    <t>金地集团南京置业发展有限公司</t>
  </si>
  <si>
    <t>住宅:70年学校:50年</t>
  </si>
  <si>
    <t>浦口区江浦街道龙华路南侧、康华路东侧地块</t>
  </si>
  <si>
    <t>东至宁合高速,南至康华路,西至龙华路,北至现状。</t>
  </si>
  <si>
    <t>NO.2018G11</t>
  </si>
  <si>
    <t>综合容积率:5.07</t>
  </si>
  <si>
    <t>2018-02-10</t>
  </si>
  <si>
    <t>2018-03-12</t>
  </si>
  <si>
    <t>2018-03-23</t>
  </si>
  <si>
    <t>2018年宁网挂第02号-6</t>
  </si>
  <si>
    <t>南京赛特置业有限公司</t>
  </si>
  <si>
    <t>商业40年住宅70年</t>
  </si>
  <si>
    <t>江北新区铁院路以西、吉庆路以北地块</t>
  </si>
  <si>
    <t>东至铁院路,南至吉庆路,西至迎江路,北至珍珠南路。</t>
  </si>
  <si>
    <t>NO.2018G05</t>
  </si>
  <si>
    <t>二类居住用地,租赁住房用地</t>
  </si>
  <si>
    <t>2018-01-04</t>
  </si>
  <si>
    <t>2018-01-23</t>
  </si>
  <si>
    <t>2018-02-06</t>
  </si>
  <si>
    <t>2018年宁网挂第01号-5</t>
  </si>
  <si>
    <t>南京国际健康城投资发展有限公司</t>
  </si>
  <si>
    <t>浦口区江浦街道谢营1号地块</t>
  </si>
  <si>
    <t>东至宁合高速,南至现状,西至珠泉西路,北至现状。</t>
  </si>
  <si>
    <t>NO.2018G04</t>
  </si>
  <si>
    <t>2018年宁网挂第01号-4</t>
  </si>
  <si>
    <t>南京康泽建设发展有限公司</t>
  </si>
  <si>
    <t>浦口区江浦街道奶牛场2号地块</t>
  </si>
  <si>
    <t>NO.2017G74</t>
  </si>
  <si>
    <t>≥1.01且≤1.6</t>
  </si>
  <si>
    <t>限地价,竞配建,现房销售</t>
  </si>
  <si>
    <t>2017-11-24</t>
  </si>
  <si>
    <t>2017-12-14</t>
  </si>
  <si>
    <t>2017-12-27</t>
  </si>
  <si>
    <t>2017年宁网挂第10号-6</t>
  </si>
  <si>
    <t>上海中建八局投资发展有限公司</t>
  </si>
  <si>
    <t>浦口区江浦街道文德路以南、团结路以西地块</t>
  </si>
  <si>
    <t>东南至张墩路,西南至现状,西北至建设路,东北至团结路。</t>
  </si>
  <si>
    <t>NO.2017G54</t>
  </si>
  <si>
    <t>≥1.01且≤1.8</t>
  </si>
  <si>
    <t>限地价,竞配建,含保障房用地,现房销售</t>
  </si>
  <si>
    <t>2017-09-22</t>
  </si>
  <si>
    <t>2017-10-15</t>
  </si>
  <si>
    <t>2017-10-25</t>
  </si>
  <si>
    <t>2017年宁网挂第07号-4</t>
  </si>
  <si>
    <t>南京中海海浦房地产有限公司</t>
  </si>
  <si>
    <t>浦口区七里河大街以东、九袱洲路以南地块</t>
  </si>
  <si>
    <t>NO.2017G41</t>
  </si>
  <si>
    <t>Bb商办混合用地Rb商住混合用地R2二类居住用地Rc基层社区中心用地</t>
  </si>
  <si>
    <t>综合容积率:4.61</t>
  </si>
  <si>
    <t>2017-07-12</t>
  </si>
  <si>
    <t>2017-08-01</t>
  </si>
  <si>
    <t>2017-08-11</t>
  </si>
  <si>
    <t>2017年宁网挂第05号</t>
  </si>
  <si>
    <t>绿地集团南京宝地置业有限公司</t>
  </si>
  <si>
    <t>浦口区江浦街道光明路以西、浦虹路以南地块</t>
  </si>
  <si>
    <t>东至光明路,南至现状,西至园利路,北至浦虹路。</t>
  </si>
  <si>
    <t>NO.2017G24</t>
  </si>
  <si>
    <t>住宅其他普通商品住房用地</t>
  </si>
  <si>
    <t>1.01≤容积率≤2.5</t>
  </si>
  <si>
    <t>≤20</t>
  </si>
  <si>
    <t>2017-06-02</t>
  </si>
  <si>
    <t>2017-06-27</t>
  </si>
  <si>
    <t>2017-07-07</t>
  </si>
  <si>
    <t>南京市本级网挂[2017]3号-5</t>
  </si>
  <si>
    <t>南京硕天投资管理有限公司</t>
  </si>
  <si>
    <t>浦口区桥林街道浦乌路以北、步月路以东地块</t>
  </si>
  <si>
    <t>东至秋荫路,南至宁乌公路,西至步月路,北至丹桂路。</t>
  </si>
  <si>
    <t>NO.2017G26</t>
  </si>
  <si>
    <t>商住其他普通商品住房用地</t>
  </si>
  <si>
    <t>1＜容积率1.79</t>
  </si>
  <si>
    <t>南京市本级网挂[2017]3号-7</t>
  </si>
  <si>
    <t>南京市浦口保障房建设发展有限公司</t>
  </si>
  <si>
    <t>高新区龙王山东侧pkb01307-06地块</t>
  </si>
  <si>
    <t>东至江北大道,南至侨康路,西至蓝园路,北至侨谊路。</t>
  </si>
  <si>
    <t>NO.2017G27</t>
  </si>
  <si>
    <t>1＜容积率2.25</t>
  </si>
  <si>
    <t>南京市本级网挂[2017]3号-8</t>
  </si>
  <si>
    <t>弘阳集团南通房地产有限公司</t>
  </si>
  <si>
    <t>浦口区江浦街道光明路以西,立新路以北地块</t>
  </si>
  <si>
    <t>东至光明路,南至立新路,西至园利路,北至现状。</t>
  </si>
  <si>
    <t>NO.2017G25</t>
  </si>
  <si>
    <t>南京市本级网挂[2017]3号-6</t>
  </si>
  <si>
    <t>五矿建设(营口)恒富置业有限公司</t>
  </si>
  <si>
    <t>浦口区江浦街道白马路东侧、海都路西侧地块</t>
  </si>
  <si>
    <t>NO.2016G99</t>
  </si>
  <si>
    <t>≤22</t>
  </si>
  <si>
    <t>H≤50</t>
  </si>
  <si>
    <t>2016-12-30</t>
  </si>
  <si>
    <t>2017-02-04</t>
  </si>
  <si>
    <t>2017-02-15</t>
  </si>
  <si>
    <t>2016年宁网挂第07号-2</t>
  </si>
  <si>
    <t>银城地产集团股份有限公司</t>
  </si>
  <si>
    <t>浦口区江浦街道白马路以东、花海路以南地块</t>
  </si>
  <si>
    <t>NO.2016G102</t>
  </si>
  <si>
    <t>1.01≤r≤2.0</t>
  </si>
  <si>
    <t>≤25</t>
  </si>
  <si>
    <t>24≤H≤50</t>
  </si>
  <si>
    <t>2016年宁网挂第07号-5</t>
  </si>
  <si>
    <t>苏州金辉房地产开发有限公司</t>
  </si>
  <si>
    <t>浦口区泰山街道泰山西路与左所东路夹角地块</t>
  </si>
  <si>
    <t>NO.2016G87</t>
  </si>
  <si>
    <t>1.01≤容积率≤2.2</t>
  </si>
  <si>
    <t>≤18</t>
  </si>
  <si>
    <t>2016-11-24</t>
  </si>
  <si>
    <t>2016-12-17</t>
  </si>
  <si>
    <t>2016-12-27</t>
  </si>
  <si>
    <t>2016年宁网挂第05号-4</t>
  </si>
  <si>
    <t>南京招商招盛房地产有限公司</t>
  </si>
  <si>
    <t>浦口区泰山街道东大路以南、泰山中路以东地块</t>
  </si>
  <si>
    <t>NO.2016G69</t>
  </si>
  <si>
    <t>1.01≤容≤3.0</t>
  </si>
  <si>
    <t>35-100米</t>
  </si>
  <si>
    <t>2016-10-14</t>
  </si>
  <si>
    <t>2016-11-07</t>
  </si>
  <si>
    <t>2016-11-17</t>
  </si>
  <si>
    <t>2016年宁网挂第03号-3</t>
  </si>
  <si>
    <t>江苏通宇投资有限公司</t>
  </si>
  <si>
    <t>浦口区泰山街道浦东路以北、浦园北路以西地块</t>
  </si>
  <si>
    <t>NO.2016G68</t>
  </si>
  <si>
    <t>R2二类居住用地、Rb商住混合用地</t>
  </si>
  <si>
    <t>综合容积率:2.02</t>
  </si>
  <si>
    <t>2016年宁网挂第03号-2</t>
  </si>
  <si>
    <t>青岛孚星置业有限公司</t>
  </si>
  <si>
    <t>住宅70年、商业40年</t>
  </si>
  <si>
    <t>浦口区江浦街道环北路南侧、江淼路北侧地块</t>
  </si>
  <si>
    <t>NO.2016G49</t>
  </si>
  <si>
    <t>1.01≤容≤2.5</t>
  </si>
  <si>
    <t>≤80米</t>
  </si>
  <si>
    <t>已完工</t>
  </si>
  <si>
    <t>2016-08-12</t>
  </si>
  <si>
    <t>2016-09-05</t>
  </si>
  <si>
    <t>2016-09-23</t>
  </si>
  <si>
    <t>2016年宁网挂第01号-10</t>
  </si>
  <si>
    <t>杭州威新房地产开发有限公司</t>
  </si>
  <si>
    <t>浦口区江浦街道白马3号地块</t>
  </si>
  <si>
    <t>NO.2016G48</t>
  </si>
  <si>
    <t>1.2≤容≤1.4</t>
  </si>
  <si>
    <t>≤24米</t>
  </si>
  <si>
    <t>2016年宁网挂第01号-9</t>
  </si>
  <si>
    <t>北京世纪鸿城置业有限公司</t>
  </si>
  <si>
    <t>浦口区沿江街道高新技术产业开发区泰冯路地块</t>
  </si>
  <si>
    <t>NO.2016G51</t>
  </si>
  <si>
    <t>R2二类居住用地、B11零售商业用地</t>
  </si>
  <si>
    <t>1.01≤容≤2.1</t>
  </si>
  <si>
    <t>2016-09-20</t>
  </si>
  <si>
    <t>2016年宁网挂第01号-12</t>
  </si>
  <si>
    <t>南京荣盛置业有限公司</t>
  </si>
  <si>
    <t>浦口区江浦街道白马2号地块</t>
  </si>
  <si>
    <t>NO.2016G47</t>
  </si>
  <si>
    <t>1.2≤容≤1.5</t>
  </si>
  <si>
    <t>≤28%</t>
  </si>
  <si>
    <t>2016年宁网挂第01号-8</t>
  </si>
  <si>
    <t>恒大地产集团南京置业有限公司</t>
  </si>
  <si>
    <t>浦口区沿江街道高新技术产业开发区奶牛场地块</t>
  </si>
  <si>
    <t>NO.2016G50</t>
  </si>
  <si>
    <t>2016年宁网挂第01号-11</t>
  </si>
  <si>
    <t>深圳联新投资管理有限公司</t>
  </si>
  <si>
    <t>住宅</t>
    <phoneticPr fontId="27" type="noConversion"/>
  </si>
  <si>
    <t>70</t>
    <phoneticPr fontId="27" type="noConversion"/>
  </si>
  <si>
    <t>较好</t>
  </si>
  <si>
    <t>六通</t>
  </si>
  <si>
    <t>规则</t>
    <phoneticPr fontId="27" type="noConversion"/>
  </si>
  <si>
    <t>较规则</t>
  </si>
  <si>
    <t>较规则</t>
    <phoneticPr fontId="27" type="noConversion"/>
  </si>
  <si>
    <t>较不规则</t>
    <phoneticPr fontId="27" type="noConversion"/>
  </si>
  <si>
    <t>适宜</t>
    <phoneticPr fontId="27" type="noConversion"/>
  </si>
  <si>
    <t>较适宜</t>
  </si>
  <si>
    <t>较适宜</t>
    <phoneticPr fontId="27" type="noConversion"/>
  </si>
  <si>
    <t>较不适宜</t>
    <phoneticPr fontId="27" type="noConversion"/>
  </si>
  <si>
    <t>五通</t>
  </si>
  <si>
    <t>四通</t>
  </si>
  <si>
    <t>三通</t>
  </si>
  <si>
    <t>好</t>
  </si>
  <si>
    <t>一般</t>
  </si>
  <si>
    <t>较差</t>
  </si>
  <si>
    <t>差</t>
  </si>
  <si>
    <t>赵雯</t>
  </si>
  <si>
    <t>王鹏</t>
  </si>
  <si>
    <t>南京启迪科技新城发展有限公司</t>
    <phoneticPr fontId="7" type="noConversion"/>
  </si>
  <si>
    <t>中信信托</t>
    <phoneticPr fontId="7" type="noConversion"/>
  </si>
  <si>
    <t>抵押</t>
  </si>
  <si>
    <t>抵押价格</t>
  </si>
  <si>
    <t>其他：</t>
  </si>
  <si>
    <t>江苏省南京市</t>
    <phoneticPr fontId="7" type="noConversion"/>
  </si>
  <si>
    <t>浦口区总部大道以北地块</t>
    <phoneticPr fontId="7" type="noConversion"/>
  </si>
  <si>
    <t>企业</t>
  </si>
  <si>
    <t>二类居住用地</t>
    <phoneticPr fontId="7" type="noConversion"/>
  </si>
  <si>
    <t>住宅</t>
    <phoneticPr fontId="7" type="noConversion"/>
  </si>
  <si>
    <t>一致</t>
  </si>
  <si>
    <t>符合</t>
  </si>
  <si>
    <t>商业</t>
  </si>
  <si>
    <t>车库</t>
  </si>
  <si>
    <t>仓储</t>
  </si>
  <si>
    <t>《出让合同》[]</t>
    <phoneticPr fontId="4" type="noConversion"/>
  </si>
  <si>
    <t>《经济技术指标》[]</t>
    <phoneticPr fontId="4" type="noConversion"/>
  </si>
  <si>
    <t>否</t>
  </si>
  <si>
    <t>居住项目</t>
  </si>
  <si>
    <t>无</t>
  </si>
  <si>
    <t>场地未平整</t>
  </si>
  <si>
    <t>未平整</t>
  </si>
  <si>
    <t>通路</t>
  </si>
  <si>
    <t>通电</t>
  </si>
  <si>
    <t>通讯</t>
  </si>
  <si>
    <t>通上水</t>
  </si>
  <si>
    <t>通下水</t>
  </si>
  <si>
    <t>燃气</t>
  </si>
  <si>
    <t>地上</t>
  </si>
  <si>
    <t>普通住宅</t>
  </si>
  <si>
    <t>底商</t>
  </si>
  <si>
    <t>地下</t>
  </si>
  <si>
    <t>总</t>
    <phoneticPr fontId="4" type="noConversion"/>
  </si>
  <si>
    <t>住宅</t>
    <phoneticPr fontId="4" type="noConversion"/>
  </si>
  <si>
    <t>商业</t>
    <phoneticPr fontId="4" type="noConversion"/>
  </si>
  <si>
    <t>社区</t>
    <phoneticPr fontId="4" type="noConversion"/>
  </si>
  <si>
    <t>幼儿园</t>
    <phoneticPr fontId="4" type="noConversion"/>
  </si>
  <si>
    <t>人防</t>
    <phoneticPr fontId="4" type="noConversion"/>
  </si>
  <si>
    <t>其他</t>
    <phoneticPr fontId="4" type="noConversion"/>
  </si>
  <si>
    <t>合计</t>
    <phoneticPr fontId="4" type="noConversion"/>
  </si>
  <si>
    <t>个数</t>
    <phoneticPr fontId="4" type="noConversion"/>
  </si>
  <si>
    <t>住宅</t>
    <phoneticPr fontId="8" type="noConversion"/>
  </si>
  <si>
    <t>商业</t>
    <phoneticPr fontId="8" type="noConversion"/>
  </si>
  <si>
    <t>地下车库</t>
    <phoneticPr fontId="8" type="noConversion"/>
  </si>
  <si>
    <t>较好</t>
    <phoneticPr fontId="4" type="noConversion"/>
  </si>
  <si>
    <t>一般</t>
    <phoneticPr fontId="4" type="noConversion"/>
  </si>
  <si>
    <t>较好</t>
    <phoneticPr fontId="4" type="noConversion"/>
  </si>
  <si>
    <t>六通</t>
    <phoneticPr fontId="4" type="noConversion"/>
  </si>
  <si>
    <t>较好</t>
    <phoneticPr fontId="22" type="noConversion"/>
  </si>
  <si>
    <t>住宅</t>
    <phoneticPr fontId="27" type="noConversion"/>
  </si>
  <si>
    <t>土地</t>
  </si>
  <si>
    <t>项目局部</t>
  </si>
  <si>
    <t>比较法-住宅、综合</t>
  </si>
  <si>
    <t>剩余法-待开发</t>
  </si>
  <si>
    <t>楼面地价</t>
  </si>
  <si>
    <t>土地（套用方法）</t>
  </si>
  <si>
    <t>押一</t>
  </si>
  <si>
    <t>按租金收入计税</t>
  </si>
  <si>
    <t>钢混</t>
  </si>
  <si>
    <t>不动产收益法</t>
  </si>
  <si>
    <t>融侨观邸</t>
    <phoneticPr fontId="4" type="noConversion"/>
  </si>
  <si>
    <t>桥北新村</t>
    <phoneticPr fontId="4" type="noConversion"/>
  </si>
  <si>
    <t>边城世家</t>
    <phoneticPr fontId="4" type="noConversion"/>
  </si>
  <si>
    <t>车位</t>
  </si>
  <si>
    <t>车位</t>
    <phoneticPr fontId="28" type="noConversion"/>
  </si>
  <si>
    <t>40-50（含）</t>
  </si>
  <si>
    <t>售价</t>
  </si>
  <si>
    <t>住宅</t>
    <phoneticPr fontId="28" type="noConversion"/>
  </si>
  <si>
    <t xml:space="preserve"> </t>
    <phoneticPr fontId="28" type="noConversion"/>
  </si>
  <si>
    <t>精装修</t>
  </si>
  <si>
    <t>精装修</t>
    <phoneticPr fontId="28" type="noConversion"/>
  </si>
  <si>
    <t>普通装修</t>
  </si>
  <si>
    <t>普通装修</t>
    <phoneticPr fontId="28" type="noConversion"/>
  </si>
  <si>
    <t>专业物业管理</t>
  </si>
  <si>
    <t>专业物业管理</t>
    <phoneticPr fontId="28" type="noConversion"/>
  </si>
  <si>
    <t>10</t>
    <phoneticPr fontId="28" type="noConversion"/>
  </si>
  <si>
    <t>平面车位</t>
  </si>
  <si>
    <t>平面车位</t>
    <phoneticPr fontId="28" type="noConversion"/>
  </si>
  <si>
    <t>否</t>
    <phoneticPr fontId="28" type="noConversion"/>
  </si>
  <si>
    <t>元/车位</t>
  </si>
  <si>
    <t>雅居乐御宾府</t>
    <phoneticPr fontId="4" type="noConversion"/>
  </si>
  <si>
    <t>住宅</t>
    <phoneticPr fontId="22" type="noConversion"/>
  </si>
  <si>
    <t>60-70（含）</t>
  </si>
  <si>
    <t>钢混</t>
    <phoneticPr fontId="22" type="noConversion"/>
  </si>
  <si>
    <t>高档</t>
    <phoneticPr fontId="22" type="noConversion"/>
  </si>
  <si>
    <t>中档</t>
  </si>
  <si>
    <t>中档</t>
    <phoneticPr fontId="22" type="noConversion"/>
  </si>
  <si>
    <t>精装修</t>
    <phoneticPr fontId="22" type="noConversion"/>
  </si>
  <si>
    <t>普通装修</t>
    <phoneticPr fontId="22" type="noConversion"/>
  </si>
  <si>
    <t>简单装修</t>
  </si>
  <si>
    <t>简单装修</t>
    <phoneticPr fontId="22" type="noConversion"/>
  </si>
  <si>
    <t>专业物业</t>
  </si>
  <si>
    <t>专业物业</t>
    <phoneticPr fontId="22" type="noConversion"/>
  </si>
  <si>
    <t>六通</t>
    <phoneticPr fontId="22" type="noConversion"/>
  </si>
  <si>
    <t>五通</t>
    <phoneticPr fontId="22" type="noConversion"/>
  </si>
  <si>
    <t>高层</t>
  </si>
  <si>
    <t>高层</t>
    <phoneticPr fontId="22" type="noConversion"/>
  </si>
  <si>
    <t>雍宁府</t>
    <phoneticPr fontId="4" type="noConversion"/>
  </si>
  <si>
    <t>中建国熙台二期</t>
    <phoneticPr fontId="4" type="noConversion"/>
  </si>
  <si>
    <t>好</t>
    <phoneticPr fontId="4" type="noConversion"/>
  </si>
  <si>
    <t>估价对象1</t>
    <phoneticPr fontId="229" type="noConversion"/>
  </si>
  <si>
    <t>合计</t>
    <phoneticPr fontId="229" type="noConversion"/>
  </si>
  <si>
    <t>预计处置时需缴纳的各项地价、税费清单计算明细表</t>
  </si>
  <si>
    <t>估价对象</t>
  </si>
  <si>
    <t>价值时点</t>
  </si>
  <si>
    <t>税（费）种</t>
  </si>
  <si>
    <t>金额（元）</t>
  </si>
  <si>
    <t>计算方法</t>
  </si>
  <si>
    <t>税（费）率</t>
  </si>
  <si>
    <t>销售额×税（费）率</t>
  </si>
  <si>
    <t>增值额×税（费）率</t>
  </si>
  <si>
    <t/>
  </si>
  <si>
    <t>小写</t>
  </si>
  <si>
    <t>大写</t>
  </si>
  <si>
    <t>估价对象基本情况</t>
    <phoneticPr fontId="4" type="noConversion"/>
  </si>
  <si>
    <t>评估总值</t>
    <phoneticPr fontId="4" type="noConversion"/>
  </si>
  <si>
    <t>土地抵押价格</t>
    <phoneticPr fontId="4" type="noConversion"/>
  </si>
  <si>
    <t>处置时需缴纳的相关税费</t>
    <phoneticPr fontId="4" type="noConversion"/>
  </si>
  <si>
    <t>增值税及附加</t>
    <phoneticPr fontId="4" type="noConversion"/>
  </si>
  <si>
    <t>印花税</t>
    <phoneticPr fontId="4" type="noConversion"/>
  </si>
  <si>
    <t>土地增值税</t>
    <phoneticPr fontId="4" type="noConversion"/>
  </si>
  <si>
    <t>合计</t>
    <phoneticPr fontId="4" type="noConversion"/>
  </si>
  <si>
    <t>抵押净值</t>
    <phoneticPr fontId="4" type="noConversion"/>
  </si>
  <si>
    <t>抵押净值单价</t>
    <phoneticPr fontId="4" type="noConversion"/>
  </si>
  <si>
    <t>土地增值税（自行开发建设）</t>
    <phoneticPr fontId="4" type="noConversion"/>
  </si>
  <si>
    <t>项目</t>
    <phoneticPr fontId="4" type="noConversion"/>
  </si>
  <si>
    <t>系数</t>
    <phoneticPr fontId="4" type="noConversion"/>
  </si>
  <si>
    <t>备注</t>
    <phoneticPr fontId="4" type="noConversion"/>
  </si>
  <si>
    <t>1.</t>
    <phoneticPr fontId="4" type="noConversion"/>
  </si>
  <si>
    <t>转让收入</t>
    <phoneticPr fontId="4" type="noConversion"/>
  </si>
  <si>
    <t>——</t>
    <phoneticPr fontId="4" type="noConversion"/>
  </si>
  <si>
    <t>2.</t>
    <phoneticPr fontId="4" type="noConversion"/>
  </si>
  <si>
    <t>扣除项合计</t>
    <phoneticPr fontId="4" type="noConversion"/>
  </si>
  <si>
    <t>（1）</t>
    <phoneticPr fontId="4" type="noConversion"/>
  </si>
  <si>
    <t>土地取得成本</t>
    <phoneticPr fontId="4" type="noConversion"/>
  </si>
  <si>
    <t>1）</t>
    <phoneticPr fontId="4" type="noConversion"/>
  </si>
  <si>
    <t>土地取得费用</t>
    <phoneticPr fontId="4" type="noConversion"/>
  </si>
  <si>
    <t>依据出让合同</t>
    <phoneticPr fontId="4" type="noConversion"/>
  </si>
  <si>
    <t>出让价款内涵：</t>
    <phoneticPr fontId="4" type="noConversion"/>
  </si>
  <si>
    <t>2）</t>
    <phoneticPr fontId="4" type="noConversion"/>
  </si>
  <si>
    <t>相关税费</t>
    <phoneticPr fontId="4" type="noConversion"/>
  </si>
  <si>
    <t>契税及印花税</t>
    <phoneticPr fontId="4" type="noConversion"/>
  </si>
  <si>
    <t>（2）</t>
    <phoneticPr fontId="4" type="noConversion"/>
  </si>
  <si>
    <t>土地开发费</t>
    <phoneticPr fontId="4" type="noConversion"/>
  </si>
  <si>
    <t xml:space="preserve"> </t>
  </si>
  <si>
    <t>（3）</t>
    <phoneticPr fontId="4" type="noConversion"/>
  </si>
  <si>
    <t>建造成本</t>
    <phoneticPr fontId="4" type="noConversion"/>
  </si>
  <si>
    <t>包括前期工程费、建筑安装工程费、基础设施费和公共配套费等</t>
    <phoneticPr fontId="4" type="noConversion"/>
  </si>
  <si>
    <t xml:space="preserve"> </t>
    <phoneticPr fontId="4" type="noConversion"/>
  </si>
  <si>
    <t>（4）</t>
    <phoneticPr fontId="4" type="noConversion"/>
  </si>
  <si>
    <t>开发费用扣除</t>
    <phoneticPr fontId="4" type="noConversion"/>
  </si>
  <si>
    <t>凡不能按转让房地产项目计算分摊利息支出或不能提供金融机构证明的，按土地及建筑总投的10%以内；含销售、管理、财务费用</t>
    <phoneticPr fontId="4" type="noConversion"/>
  </si>
  <si>
    <t>（5）</t>
    <phoneticPr fontId="4" type="noConversion"/>
  </si>
  <si>
    <t>转让税金支出</t>
    <phoneticPr fontId="4" type="noConversion"/>
  </si>
  <si>
    <t>不含增值税，仅附加税</t>
    <phoneticPr fontId="4" type="noConversion"/>
  </si>
  <si>
    <t>（6）</t>
    <phoneticPr fontId="4" type="noConversion"/>
  </si>
  <si>
    <t>加计扣除金额</t>
    <phoneticPr fontId="4" type="noConversion"/>
  </si>
  <si>
    <t>对专门从事房地产开发的企业可以按20％计算扣除；如为土地，则仅将土地开发费加计20%扣减</t>
    <phoneticPr fontId="4" type="noConversion"/>
  </si>
  <si>
    <t>3.</t>
    <phoneticPr fontId="4" type="noConversion"/>
  </si>
  <si>
    <t>增值额</t>
    <phoneticPr fontId="4" type="noConversion"/>
  </si>
  <si>
    <t>4.</t>
    <phoneticPr fontId="4" type="noConversion"/>
  </si>
  <si>
    <t>增值额与扣除项比率</t>
    <phoneticPr fontId="4" type="noConversion"/>
  </si>
  <si>
    <t>5.</t>
    <phoneticPr fontId="4" type="noConversion"/>
  </si>
  <si>
    <t>应纳增值税税额</t>
    <phoneticPr fontId="4" type="noConversion"/>
  </si>
  <si>
    <t>仅含出让金</t>
    <phoneticPr fontId="229" type="noConversion"/>
  </si>
  <si>
    <t>乔波冰雪世界</t>
    <phoneticPr fontId="229" type="noConversion"/>
  </si>
  <si>
    <t>增值额超过扣除项目金额50%，未超过100%</t>
  </si>
  <si>
    <t xml:space="preserve">土地增值税税额=增值额×40%－扣除项目金额×5% </t>
  </si>
  <si>
    <t>抵押净值（万元）</t>
    <phoneticPr fontId="229" type="noConversion"/>
  </si>
  <si>
    <t>正常</t>
  </si>
  <si>
    <t>非个人房产</t>
  </si>
  <si>
    <t>买卖合同</t>
  </si>
  <si>
    <t>Ⅴ-01</t>
  </si>
  <si>
    <t>一般</t>
    <phoneticPr fontId="27" type="noConversion"/>
  </si>
  <si>
    <t>较好</t>
    <phoneticPr fontId="27" type="noConversion"/>
  </si>
  <si>
    <t>六通</t>
    <phoneticPr fontId="27" type="noConversion"/>
  </si>
  <si>
    <t>较好</t>
    <phoneticPr fontId="22" type="noConversion"/>
  </si>
  <si>
    <t>六通</t>
    <phoneticPr fontId="22" type="noConversion"/>
  </si>
  <si>
    <t>一般</t>
    <phoneticPr fontId="28" type="noConversion"/>
  </si>
  <si>
    <t>较好</t>
    <phoneticPr fontId="28" type="noConversion"/>
  </si>
  <si>
    <t>六通</t>
    <phoneticPr fontId="28" type="noConversion"/>
  </si>
  <si>
    <t>地块编号</t>
    <phoneticPr fontId="229" type="noConversion"/>
  </si>
  <si>
    <t>用地性质</t>
    <phoneticPr fontId="229" type="noConversion"/>
  </si>
  <si>
    <t>土地面积（m2）</t>
    <phoneticPr fontId="229" type="noConversion"/>
  </si>
  <si>
    <t>B地块</t>
    <phoneticPr fontId="229" type="noConversion"/>
  </si>
  <si>
    <t>A1地块</t>
    <phoneticPr fontId="229" type="noConversion"/>
  </si>
  <si>
    <t>A2地块</t>
    <phoneticPr fontId="229" type="noConversion"/>
  </si>
  <si>
    <t>住宅</t>
    <phoneticPr fontId="229" type="noConversion"/>
  </si>
  <si>
    <t>科研设计</t>
    <phoneticPr fontId="229" type="noConversion"/>
  </si>
  <si>
    <t>商办混合</t>
    <phoneticPr fontId="229" type="noConversion"/>
  </si>
  <si>
    <t>合计</t>
    <phoneticPr fontId="229" type="noConversion"/>
  </si>
  <si>
    <t>——</t>
    <phoneticPr fontId="229" type="noConversion"/>
  </si>
  <si>
    <t xml:space="preserve"> </t>
    <phoneticPr fontId="229" type="noConversion"/>
  </si>
  <si>
    <t>市场价值（亿元）</t>
    <phoneticPr fontId="229" type="noConversion"/>
  </si>
  <si>
    <t>抵押净值（亿元）</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</si>
</sst>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E36C0A"/>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cellStyleXfs>
  <cellXfs count="36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82" fillId="2" borderId="30"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2" fontId="77" fillId="5" borderId="0" xfId="0" applyNumberFormat="1" applyFont="1" applyFill="1" applyAlignment="1" applyProtection="1">
      <alignment vertical="center"/>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0" fillId="6" borderId="0" xfId="0" applyFill="1">
      <alignment vertical="center"/>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49" fontId="72" fillId="0" borderId="2" xfId="0" applyNumberFormat="1" applyFont="1" applyFill="1" applyBorder="1" applyAlignment="1" applyProtection="1">
      <alignment horizontal="center" vertical="center" wrapText="1"/>
      <protection locked="0"/>
    </xf>
    <xf numFmtId="0" fontId="258" fillId="5" borderId="10" xfId="14" applyFont="1" applyFill="1" applyBorder="1" applyAlignment="1" applyProtection="1">
      <alignment horizontal="center" vertical="center" wrapText="1"/>
      <protection locked="0"/>
    </xf>
    <xf numFmtId="0" fontId="0" fillId="0" borderId="2" xfId="0" applyBorder="1" applyAlignment="1">
      <alignment horizontal="left" vertical="center" wrapText="1"/>
    </xf>
    <xf numFmtId="0" fontId="146" fillId="0" borderId="2" xfId="0" applyFont="1" applyBorder="1" applyAlignment="1">
      <alignment horizontal="left" vertical="center"/>
    </xf>
    <xf numFmtId="0" fontId="0" fillId="0" borderId="2" xfId="0" applyBorder="1" applyAlignment="1">
      <alignment horizontal="left" vertical="center"/>
    </xf>
    <xf numFmtId="0" fontId="158" fillId="5" borderId="0" xfId="16" applyFont="1" applyFill="1" applyAlignment="1" applyProtection="1">
      <alignment horizontal="left" vertical="center"/>
    </xf>
    <xf numFmtId="0" fontId="150" fillId="5" borderId="0" xfId="16" applyFont="1" applyFill="1" applyProtection="1">
      <alignment vertical="center"/>
    </xf>
    <xf numFmtId="0" fontId="77" fillId="5" borderId="0" xfId="16" applyFont="1" applyFill="1" applyProtection="1">
      <alignment vertical="center"/>
    </xf>
    <xf numFmtId="0" fontId="1" fillId="0" borderId="0" xfId="16">
      <alignment vertical="center"/>
    </xf>
    <xf numFmtId="0" fontId="158" fillId="5" borderId="5" xfId="16" applyFont="1" applyFill="1" applyBorder="1" applyAlignment="1" applyProtection="1">
      <alignment horizontal="center" vertical="center" wrapText="1"/>
    </xf>
    <xf numFmtId="0" fontId="158" fillId="5" borderId="8" xfId="16" applyFont="1" applyFill="1" applyBorder="1" applyAlignment="1" applyProtection="1">
      <alignment horizontal="center" vertical="center" wrapText="1"/>
    </xf>
    <xf numFmtId="0" fontId="158" fillId="5" borderId="14" xfId="16" applyFont="1" applyFill="1" applyBorder="1" applyAlignment="1" applyProtection="1">
      <alignment horizontal="left" vertical="center" wrapText="1"/>
    </xf>
    <xf numFmtId="0" fontId="158" fillId="5" borderId="14" xfId="16" applyFont="1" applyFill="1" applyBorder="1" applyAlignment="1" applyProtection="1">
      <alignment horizontal="center" vertical="center" wrapText="1"/>
    </xf>
    <xf numFmtId="0" fontId="158" fillId="5" borderId="32" xfId="16" applyFont="1" applyFill="1" applyBorder="1" applyAlignment="1" applyProtection="1">
      <alignment horizontal="center" vertical="center" wrapText="1"/>
    </xf>
    <xf numFmtId="0" fontId="153" fillId="5" borderId="21" xfId="16" applyFont="1" applyFill="1" applyBorder="1" applyAlignment="1" applyProtection="1">
      <alignment horizontal="center" vertical="center" wrapText="1"/>
    </xf>
    <xf numFmtId="0" fontId="275" fillId="0" borderId="5" xfId="16" applyFont="1" applyFill="1" applyBorder="1" applyAlignment="1" applyProtection="1">
      <alignment horizontal="center" vertical="center" wrapText="1"/>
      <protection locked="0"/>
    </xf>
    <xf numFmtId="0" fontId="179" fillId="0" borderId="8" xfId="16" applyFont="1" applyFill="1" applyBorder="1" applyAlignment="1" applyProtection="1">
      <alignment horizontal="center" vertical="center" wrapText="1"/>
      <protection locked="0"/>
    </xf>
    <xf numFmtId="0" fontId="179" fillId="0" borderId="9" xfId="16" applyFont="1" applyFill="1" applyBorder="1" applyAlignment="1" applyProtection="1">
      <alignment horizontal="center" vertical="center" wrapText="1"/>
      <protection locked="0"/>
    </xf>
    <xf numFmtId="0" fontId="153" fillId="5" borderId="2" xfId="16" applyFont="1" applyFill="1" applyBorder="1" applyAlignment="1" applyProtection="1">
      <alignment horizontal="center" vertical="center" wrapText="1"/>
    </xf>
    <xf numFmtId="190" fontId="179" fillId="5" borderId="21" xfId="16" applyNumberFormat="1" applyFont="1" applyFill="1" applyBorder="1" applyAlignment="1" applyProtection="1">
      <alignment horizontal="center" vertical="center" wrapText="1"/>
    </xf>
    <xf numFmtId="0" fontId="179" fillId="5" borderId="2" xfId="16" applyFont="1" applyFill="1" applyBorder="1" applyAlignment="1" applyProtection="1">
      <alignment horizontal="center" vertical="center" wrapText="1"/>
    </xf>
    <xf numFmtId="0" fontId="153" fillId="5" borderId="10" xfId="16" applyFont="1" applyFill="1" applyBorder="1" applyAlignment="1" applyProtection="1">
      <alignment horizontal="center" vertical="center" wrapText="1"/>
    </xf>
    <xf numFmtId="0" fontId="179" fillId="5" borderId="10" xfId="16" applyFont="1" applyFill="1" applyBorder="1" applyAlignment="1" applyProtection="1">
      <alignment horizontal="center" vertical="center" wrapText="1"/>
    </xf>
    <xf numFmtId="0" fontId="167" fillId="5" borderId="5" xfId="16" applyFont="1" applyFill="1" applyBorder="1" applyAlignment="1" applyProtection="1">
      <alignment horizontal="center" vertical="center" wrapText="1"/>
    </xf>
    <xf numFmtId="0" fontId="167" fillId="5" borderId="8" xfId="16" applyFont="1" applyFill="1" applyBorder="1" applyAlignment="1" applyProtection="1">
      <alignment horizontal="center" vertical="center" wrapText="1"/>
    </xf>
    <xf numFmtId="0" fontId="167" fillId="5" borderId="8" xfId="16" applyFont="1" applyFill="1" applyBorder="1" applyAlignment="1" applyProtection="1">
      <alignment horizontal="center" vertical="center"/>
    </xf>
    <xf numFmtId="0" fontId="167" fillId="5" borderId="9" xfId="16" applyFont="1" applyFill="1" applyBorder="1" applyAlignment="1" applyProtection="1">
      <alignment horizontal="center" vertical="center" wrapText="1"/>
    </xf>
    <xf numFmtId="0" fontId="167" fillId="5" borderId="21" xfId="16" applyFont="1" applyFill="1" applyBorder="1" applyAlignment="1" applyProtection="1">
      <alignment horizontal="center" vertical="center" wrapText="1"/>
    </xf>
    <xf numFmtId="0" fontId="180" fillId="5" borderId="2" xfId="16" applyFont="1" applyFill="1" applyBorder="1" applyAlignment="1" applyProtection="1">
      <alignment horizontal="center" vertical="center" wrapText="1"/>
    </xf>
    <xf numFmtId="0" fontId="166" fillId="5" borderId="2" xfId="16" applyFont="1" applyFill="1" applyBorder="1" applyAlignment="1" applyProtection="1">
      <alignment horizontal="center" vertical="center" wrapText="1"/>
    </xf>
    <xf numFmtId="10" fontId="180" fillId="5" borderId="2" xfId="16" applyNumberFormat="1" applyFont="1" applyFill="1" applyBorder="1" applyAlignment="1" applyProtection="1">
      <alignment horizontal="center" vertical="center"/>
    </xf>
    <xf numFmtId="9" fontId="180" fillId="5" borderId="2" xfId="16" applyNumberFormat="1" applyFont="1" applyFill="1" applyBorder="1" applyAlignment="1" applyProtection="1">
      <alignment horizontal="center" vertical="center"/>
    </xf>
    <xf numFmtId="0" fontId="180" fillId="5" borderId="10" xfId="16" applyFont="1" applyFill="1" applyBorder="1" applyAlignment="1" applyProtection="1">
      <alignment horizontal="center" vertical="center" wrapText="1"/>
    </xf>
    <xf numFmtId="0" fontId="166" fillId="5" borderId="10" xfId="16" applyFont="1" applyFill="1" applyBorder="1" applyAlignment="1" applyProtection="1">
      <alignment horizontal="center" vertical="center" wrapText="1"/>
    </xf>
    <xf numFmtId="9" fontId="180" fillId="5" borderId="10" xfId="16" applyNumberFormat="1" applyFont="1" applyFill="1" applyBorder="1" applyAlignment="1" applyProtection="1">
      <alignment horizontal="center" vertical="center"/>
    </xf>
    <xf numFmtId="0" fontId="166" fillId="5" borderId="5" xfId="16" applyFont="1" applyFill="1" applyBorder="1" applyAlignment="1" applyProtection="1">
      <alignment horizontal="center" vertical="center" wrapText="1"/>
    </xf>
    <xf numFmtId="0" fontId="180" fillId="5" borderId="5" xfId="16" applyFont="1" applyFill="1" applyBorder="1" applyAlignment="1" applyProtection="1">
      <alignment vertical="center" wrapText="1"/>
    </xf>
    <xf numFmtId="0" fontId="180" fillId="5" borderId="8" xfId="16" applyFont="1" applyFill="1" applyBorder="1" applyAlignment="1" applyProtection="1">
      <alignment horizontal="center" vertical="center" wrapText="1"/>
    </xf>
    <xf numFmtId="0" fontId="180" fillId="5" borderId="9" xfId="16" applyFont="1" applyFill="1" applyBorder="1" applyAlignment="1" applyProtection="1">
      <alignment vertical="center" wrapText="1"/>
    </xf>
    <xf numFmtId="0" fontId="180" fillId="5" borderId="84" xfId="16" applyFont="1" applyFill="1" applyBorder="1" applyAlignment="1" applyProtection="1">
      <alignment vertical="center" wrapText="1"/>
    </xf>
    <xf numFmtId="0" fontId="180" fillId="5" borderId="85" xfId="16" applyFont="1" applyFill="1" applyBorder="1" applyAlignment="1" applyProtection="1">
      <alignment horizontal="center" vertical="center" wrapText="1"/>
    </xf>
    <xf numFmtId="0" fontId="180" fillId="5" borderId="86" xfId="16" applyFont="1" applyFill="1" applyBorder="1" applyAlignment="1" applyProtection="1">
      <alignment vertical="center" wrapText="1"/>
    </xf>
    <xf numFmtId="0" fontId="96" fillId="5" borderId="6" xfId="16" applyFont="1" applyFill="1" applyBorder="1" applyAlignment="1" applyProtection="1">
      <alignment horizontal="center" vertical="center" wrapText="1"/>
    </xf>
    <xf numFmtId="0" fontId="77" fillId="5" borderId="29" xfId="16" applyFont="1" applyFill="1" applyBorder="1" applyAlignment="1" applyProtection="1">
      <alignment horizontal="left" vertical="center" wrapText="1"/>
    </xf>
    <xf numFmtId="0" fontId="77" fillId="5" borderId="30" xfId="16" applyFont="1" applyFill="1" applyBorder="1" applyAlignment="1" applyProtection="1">
      <alignment horizontal="left" vertical="center" wrapText="1"/>
    </xf>
    <xf numFmtId="49" fontId="86" fillId="5" borderId="11" xfId="16" applyNumberFormat="1" applyFont="1" applyFill="1" applyBorder="1" applyAlignment="1" applyProtection="1">
      <alignment horizontal="left" vertical="center" wrapText="1"/>
    </xf>
    <xf numFmtId="0" fontId="96" fillId="5" borderId="2" xfId="16" applyFont="1" applyFill="1" applyBorder="1" applyAlignment="1" applyProtection="1">
      <alignment horizontal="left" vertical="center" wrapText="1"/>
    </xf>
    <xf numFmtId="177" fontId="96" fillId="5" borderId="2" xfId="16" applyNumberFormat="1" applyFont="1" applyFill="1" applyBorder="1" applyAlignment="1" applyProtection="1">
      <alignment horizontal="center" vertical="center" wrapText="1"/>
    </xf>
    <xf numFmtId="0" fontId="87" fillId="5" borderId="2" xfId="16" applyFont="1" applyFill="1" applyBorder="1" applyAlignment="1" applyProtection="1">
      <alignment horizontal="center" vertical="center" wrapText="1"/>
    </xf>
    <xf numFmtId="0" fontId="77" fillId="5" borderId="5" xfId="16" applyFont="1" applyFill="1" applyBorder="1" applyAlignment="1" applyProtection="1">
      <alignment horizontal="left" vertical="center" wrapText="1"/>
    </xf>
    <xf numFmtId="0" fontId="77" fillId="5" borderId="8" xfId="16" applyFont="1" applyFill="1" applyBorder="1" applyAlignment="1" applyProtection="1">
      <alignment horizontal="left" vertical="center" wrapText="1"/>
    </xf>
    <xf numFmtId="0" fontId="86" fillId="5" borderId="2" xfId="16" applyFont="1" applyFill="1" applyBorder="1" applyAlignment="1" applyProtection="1">
      <alignment horizontal="left" vertical="center" wrapText="1"/>
    </xf>
    <xf numFmtId="0" fontId="87" fillId="5" borderId="5" xfId="16" applyFont="1" applyFill="1" applyBorder="1" applyAlignment="1" applyProtection="1">
      <alignment horizontal="center" vertical="center" wrapText="1"/>
    </xf>
    <xf numFmtId="49" fontId="77" fillId="5" borderId="11" xfId="16" applyNumberFormat="1" applyFont="1" applyFill="1" applyBorder="1" applyAlignment="1" applyProtection="1">
      <alignment vertical="center" wrapText="1"/>
    </xf>
    <xf numFmtId="0" fontId="87" fillId="5" borderId="2" xfId="16" applyFont="1" applyFill="1" applyBorder="1" applyAlignment="1" applyProtection="1">
      <alignment horizontal="left" vertical="center" wrapText="1"/>
    </xf>
    <xf numFmtId="189" fontId="87" fillId="5" borderId="2" xfId="16" applyNumberFormat="1" applyFont="1" applyFill="1" applyBorder="1" applyAlignment="1" applyProtection="1">
      <alignment horizontal="center" vertical="center" wrapText="1"/>
    </xf>
    <xf numFmtId="10" fontId="86" fillId="5" borderId="5" xfId="16" applyNumberFormat="1" applyFont="1" applyFill="1" applyBorder="1" applyAlignment="1" applyProtection="1">
      <alignment horizontal="center" vertical="center" wrapText="1"/>
    </xf>
    <xf numFmtId="10" fontId="77" fillId="5" borderId="5" xfId="16" applyNumberFormat="1" applyFont="1" applyFill="1" applyBorder="1" applyAlignment="1" applyProtection="1">
      <alignment horizontal="left" vertical="center" wrapText="1"/>
    </xf>
    <xf numFmtId="10" fontId="77" fillId="5" borderId="8" xfId="16" applyNumberFormat="1" applyFont="1" applyFill="1" applyBorder="1" applyAlignment="1" applyProtection="1">
      <alignment horizontal="left" vertical="center" wrapText="1"/>
    </xf>
    <xf numFmtId="10" fontId="77" fillId="5" borderId="16" xfId="16" applyNumberFormat="1" applyFont="1" applyFill="1" applyBorder="1" applyAlignment="1" applyProtection="1">
      <alignment horizontal="left" vertical="center" wrapText="1"/>
    </xf>
    <xf numFmtId="189" fontId="87" fillId="0" borderId="2" xfId="16" applyNumberFormat="1" applyFont="1" applyFill="1" applyBorder="1" applyAlignment="1" applyProtection="1">
      <alignment horizontal="center" vertical="center" wrapText="1"/>
      <protection locked="0"/>
    </xf>
    <xf numFmtId="10" fontId="77" fillId="5" borderId="5" xfId="16" applyNumberFormat="1" applyFont="1" applyFill="1" applyBorder="1" applyAlignment="1" applyProtection="1">
      <alignment horizontal="left" vertical="center"/>
    </xf>
    <xf numFmtId="0" fontId="92" fillId="5" borderId="0" xfId="16" applyFont="1" applyFill="1" applyBorder="1" applyAlignment="1" applyProtection="1">
      <alignment horizontal="left" vertical="center"/>
    </xf>
    <xf numFmtId="189" fontId="87" fillId="10" borderId="2" xfId="16" applyNumberFormat="1" applyFont="1" applyFill="1" applyBorder="1" applyAlignment="1" applyProtection="1">
      <alignment horizontal="center" vertical="center" wrapText="1"/>
      <protection locked="0"/>
    </xf>
    <xf numFmtId="49" fontId="83" fillId="5" borderId="11" xfId="16" applyNumberFormat="1" applyFont="1" applyFill="1" applyBorder="1" applyAlignment="1" applyProtection="1">
      <alignment vertical="center" wrapText="1"/>
    </xf>
    <xf numFmtId="10" fontId="12" fillId="6" borderId="16" xfId="16" applyNumberFormat="1" applyFont="1" applyFill="1" applyBorder="1" applyAlignment="1" applyProtection="1">
      <alignment horizontal="left" vertical="center" wrapText="1"/>
      <protection locked="0"/>
    </xf>
    <xf numFmtId="49" fontId="135" fillId="5" borderId="11" xfId="16" applyNumberFormat="1" applyFont="1" applyFill="1" applyBorder="1" applyAlignment="1" applyProtection="1">
      <alignment vertical="center" wrapText="1"/>
    </xf>
    <xf numFmtId="181" fontId="96" fillId="5" borderId="2" xfId="16" applyNumberFormat="1" applyFont="1" applyFill="1" applyBorder="1" applyAlignment="1" applyProtection="1">
      <alignment horizontal="center" vertical="center" wrapText="1"/>
    </xf>
    <xf numFmtId="0" fontId="77" fillId="5" borderId="5" xfId="16" applyFont="1" applyFill="1" applyBorder="1" applyAlignment="1" applyProtection="1">
      <alignment horizontal="left" vertical="center"/>
    </xf>
    <xf numFmtId="49" fontId="135" fillId="5" borderId="43" xfId="16" applyNumberFormat="1" applyFont="1" applyFill="1" applyBorder="1" applyAlignment="1" applyProtection="1">
      <alignment vertical="center" wrapText="1"/>
    </xf>
    <xf numFmtId="0" fontId="96" fillId="5" borderId="44" xfId="16" applyFont="1" applyFill="1" applyBorder="1" applyAlignment="1" applyProtection="1">
      <alignment horizontal="left" vertical="center" wrapText="1"/>
    </xf>
    <xf numFmtId="0" fontId="86" fillId="5" borderId="44" xfId="16" applyFont="1" applyFill="1" applyBorder="1" applyAlignment="1" applyProtection="1">
      <alignment horizontal="center" vertical="center" wrapText="1"/>
    </xf>
    <xf numFmtId="0" fontId="87" fillId="5" borderId="44" xfId="16" applyFont="1" applyFill="1" applyBorder="1" applyAlignment="1" applyProtection="1">
      <alignment horizontal="center" vertical="center" wrapText="1"/>
    </xf>
    <xf numFmtId="0" fontId="77" fillId="5" borderId="45" xfId="16" applyFont="1" applyFill="1" applyBorder="1" applyAlignment="1" applyProtection="1">
      <alignment horizontal="left" vertical="center"/>
    </xf>
    <xf numFmtId="0" fontId="77" fillId="5" borderId="56" xfId="16" applyFont="1" applyFill="1" applyBorder="1" applyAlignment="1" applyProtection="1">
      <alignment horizontal="left" vertical="center" wrapText="1"/>
    </xf>
    <xf numFmtId="194" fontId="180" fillId="5" borderId="8" xfId="16" applyNumberFormat="1" applyFont="1" applyFill="1" applyBorder="1" applyAlignment="1" applyProtection="1">
      <alignment horizontal="center" vertical="center" wrapText="1"/>
    </xf>
    <xf numFmtId="10" fontId="83" fillId="2" borderId="16" xfId="16" applyNumberFormat="1" applyFont="1" applyFill="1" applyBorder="1" applyAlignment="1" applyProtection="1">
      <alignment horizontal="left" vertical="center" wrapText="1"/>
      <protection locked="0"/>
    </xf>
    <xf numFmtId="0" fontId="146" fillId="0" borderId="2" xfId="0" applyFont="1" applyBorder="1" applyAlignment="1">
      <alignment horizontal="left" vertical="center" wrapText="1"/>
    </xf>
    <xf numFmtId="49" fontId="145" fillId="0" borderId="53"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176" fontId="12" fillId="6" borderId="2" xfId="0" applyNumberFormat="1" applyFont="1" applyFill="1" applyBorder="1" applyAlignment="1" applyProtection="1">
      <alignment vertical="center" wrapText="1"/>
      <protection locked="0"/>
    </xf>
    <xf numFmtId="0" fontId="0" fillId="0" borderId="10" xfId="0" applyBorder="1" applyAlignment="1">
      <alignment horizontal="left" vertical="center"/>
    </xf>
    <xf numFmtId="0" fontId="0" fillId="0" borderId="3" xfId="0" applyBorder="1" applyAlignment="1">
      <alignment horizontal="left" vertical="center"/>
    </xf>
    <xf numFmtId="0" fontId="0" fillId="0" borderId="21" xfId="0" applyBorder="1" applyAlignment="1">
      <alignment horizontal="left" vertical="center"/>
    </xf>
    <xf numFmtId="0" fontId="146" fillId="0" borderId="0" xfId="0" applyFont="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Fill="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50" fillId="5" borderId="5" xfId="16" applyFont="1" applyFill="1" applyBorder="1" applyAlignment="1" applyProtection="1">
      <alignment horizontal="left" vertical="center"/>
    </xf>
    <xf numFmtId="0" fontId="50" fillId="5" borderId="9" xfId="16" applyFont="1" applyFill="1" applyBorder="1" applyAlignment="1" applyProtection="1">
      <alignment horizontal="left" vertical="center"/>
    </xf>
    <xf numFmtId="10" fontId="77" fillId="5" borderId="5" xfId="16" applyNumberFormat="1" applyFont="1" applyFill="1" applyBorder="1" applyAlignment="1" applyProtection="1">
      <alignment horizontal="left" vertical="center" wrapText="1"/>
    </xf>
    <xf numFmtId="10" fontId="77" fillId="5" borderId="8" xfId="16" applyNumberFormat="1" applyFont="1" applyFill="1" applyBorder="1" applyAlignment="1" applyProtection="1">
      <alignment horizontal="left" vertical="center" wrapText="1"/>
    </xf>
    <xf numFmtId="10" fontId="77" fillId="5" borderId="16" xfId="16" applyNumberFormat="1" applyFont="1" applyFill="1" applyBorder="1" applyAlignment="1" applyProtection="1">
      <alignment horizontal="left" vertical="center" wrapText="1"/>
    </xf>
    <xf numFmtId="10" fontId="50" fillId="5" borderId="5" xfId="16" applyNumberFormat="1" applyFont="1" applyFill="1" applyBorder="1" applyAlignment="1" applyProtection="1">
      <alignment horizontal="left" vertical="center" wrapText="1"/>
    </xf>
    <xf numFmtId="0" fontId="153" fillId="5" borderId="10" xfId="16" applyFont="1" applyFill="1" applyBorder="1" applyAlignment="1" applyProtection="1">
      <alignment horizontal="center" vertical="center" wrapText="1"/>
    </xf>
    <xf numFmtId="0" fontId="153" fillId="5" borderId="21" xfId="16" applyFont="1" applyFill="1" applyBorder="1" applyAlignment="1" applyProtection="1">
      <alignment horizontal="center" vertical="center" wrapText="1"/>
    </xf>
    <xf numFmtId="0" fontId="166" fillId="5" borderId="2" xfId="16" applyFont="1" applyFill="1" applyBorder="1" applyAlignment="1" applyProtection="1">
      <alignment horizontal="center" vertical="center" wrapText="1"/>
    </xf>
    <xf numFmtId="0" fontId="166" fillId="5" borderId="71" xfId="16" applyFont="1" applyFill="1" applyBorder="1" applyAlignment="1" applyProtection="1">
      <alignment horizontal="center" vertical="center" wrapText="1"/>
    </xf>
    <xf numFmtId="0" fontId="166" fillId="5" borderId="84" xfId="16" applyFont="1" applyFill="1" applyBorder="1" applyAlignment="1" applyProtection="1">
      <alignment horizontal="center" vertical="center" wrapText="1"/>
    </xf>
    <xf numFmtId="0" fontId="96" fillId="5" borderId="31" xfId="16" applyFont="1" applyFill="1" applyBorder="1" applyAlignment="1" applyProtection="1">
      <alignment horizontal="center" vertical="center" wrapText="1"/>
    </xf>
    <xf numFmtId="0" fontId="96" fillId="5" borderId="0" xfId="16" applyFont="1" applyFill="1" applyBorder="1" applyAlignment="1" applyProtection="1">
      <alignment horizontal="center" vertical="center" wrapText="1"/>
    </xf>
    <xf numFmtId="0" fontId="96" fillId="5" borderId="1" xfId="16" applyFont="1" applyFill="1" applyBorder="1" applyAlignment="1" applyProtection="1">
      <alignment horizontal="center" vertical="center" wrapText="1"/>
    </xf>
    <xf numFmtId="0" fontId="96" fillId="5" borderId="6" xfId="16" applyFont="1" applyFill="1" applyBorder="1" applyAlignment="1" applyProtection="1">
      <alignment horizontal="center" vertical="center" wrapText="1"/>
    </xf>
    <xf numFmtId="0" fontId="153" fillId="5" borderId="2" xfId="16" applyFont="1" applyFill="1" applyBorder="1" applyAlignment="1" applyProtection="1">
      <alignment horizontal="center" vertical="center" wrapText="1"/>
    </xf>
    <xf numFmtId="0" fontId="158" fillId="5" borderId="21" xfId="16" applyFont="1" applyFill="1" applyBorder="1" applyAlignment="1" applyProtection="1">
      <alignment horizontal="center" vertical="center" wrapText="1"/>
    </xf>
    <xf numFmtId="0" fontId="158" fillId="5" borderId="17" xfId="16" applyFont="1" applyFill="1" applyBorder="1" applyAlignment="1" applyProtection="1">
      <alignment horizontal="center" vertical="center" wrapText="1"/>
    </xf>
    <xf numFmtId="0" fontId="158" fillId="5" borderId="2" xfId="16" applyFont="1" applyFill="1" applyBorder="1" applyAlignment="1" applyProtection="1">
      <alignment horizontal="center" vertical="center" wrapText="1"/>
    </xf>
    <xf numFmtId="0" fontId="46" fillId="5" borderId="10" xfId="16" applyFont="1" applyFill="1" applyBorder="1" applyAlignment="1" applyProtection="1">
      <alignment horizontal="center" vertical="center" wrapText="1"/>
    </xf>
    <xf numFmtId="0" fontId="158" fillId="5" borderId="10" xfId="16" applyFont="1" applyFill="1" applyBorder="1" applyAlignment="1" applyProtection="1">
      <alignment horizontal="center" vertical="center" wrapText="1"/>
    </xf>
    <xf numFmtId="0" fontId="167" fillId="5" borderId="21" xfId="16" applyFont="1" applyFill="1" applyBorder="1" applyAlignment="1" applyProtection="1">
      <alignment horizontal="center" vertical="center" wrapText="1"/>
    </xf>
    <xf numFmtId="0" fontId="50" fillId="5" borderId="5" xfId="16" applyFont="1" applyFill="1" applyBorder="1" applyAlignment="1" applyProtection="1">
      <alignment horizontal="center" vertical="center"/>
    </xf>
    <xf numFmtId="0" fontId="50" fillId="5" borderId="8" xfId="16"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0" fillId="0" borderId="10" xfId="0" applyBorder="1" applyAlignment="1">
      <alignment horizontal="left" vertical="center" wrapText="1"/>
    </xf>
    <xf numFmtId="0" fontId="0" fillId="0" borderId="3" xfId="0" applyBorder="1" applyAlignment="1">
      <alignment horizontal="left" vertical="center" wrapText="1"/>
    </xf>
    <xf numFmtId="0" fontId="0" fillId="0" borderId="21" xfId="0"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39</xdr:col>
      <xdr:colOff>484659</xdr:colOff>
      <xdr:row>86</xdr:row>
      <xdr:rowOff>27779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8933334" cy="6371429"/>
        </a:xfrm>
        <a:prstGeom prst="rect">
          <a:avLst/>
        </a:prstGeom>
      </xdr:spPr>
    </xdr:pic>
    <xdr:clientData/>
  </xdr:twoCellAnchor>
  <xdr:twoCellAnchor editAs="oneCell">
    <xdr:from>
      <xdr:col>45</xdr:col>
      <xdr:colOff>0</xdr:colOff>
      <xdr:row>49</xdr:row>
      <xdr:rowOff>0</xdr:rowOff>
    </xdr:from>
    <xdr:to>
      <xdr:col>57</xdr:col>
      <xdr:colOff>170401</xdr:colOff>
      <xdr:row>87</xdr:row>
      <xdr:rowOff>122996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8401050"/>
          <a:ext cx="8400001" cy="6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198801</xdr:colOff>
      <xdr:row>31</xdr:row>
      <xdr:rowOff>132669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0001" cy="5447619"/>
        </a:xfrm>
        <a:prstGeom prst="rect">
          <a:avLst/>
        </a:prstGeom>
      </xdr:spPr>
    </xdr:pic>
    <xdr:clientData/>
  </xdr:twoCellAnchor>
  <xdr:twoCellAnchor editAs="oneCell">
    <xdr:from>
      <xdr:col>0</xdr:col>
      <xdr:colOff>0</xdr:colOff>
      <xdr:row>32</xdr:row>
      <xdr:rowOff>0</xdr:rowOff>
    </xdr:from>
    <xdr:to>
      <xdr:col>14</xdr:col>
      <xdr:colOff>465467</xdr:colOff>
      <xdr:row>82</xdr:row>
      <xdr:rowOff>84643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0066667" cy="8657143"/>
        </a:xfrm>
        <a:prstGeom prst="rect">
          <a:avLst/>
        </a:prstGeom>
      </xdr:spPr>
    </xdr:pic>
    <xdr:clientData/>
  </xdr:twoCellAnchor>
  <xdr:twoCellAnchor editAs="oneCell">
    <xdr:from>
      <xdr:col>0</xdr:col>
      <xdr:colOff>0</xdr:colOff>
      <xdr:row>83</xdr:row>
      <xdr:rowOff>0</xdr:rowOff>
    </xdr:from>
    <xdr:to>
      <xdr:col>14</xdr:col>
      <xdr:colOff>294039</xdr:colOff>
      <xdr:row>93</xdr:row>
      <xdr:rowOff>104548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9895239" cy="1819048"/>
        </a:xfrm>
        <a:prstGeom prst="rect">
          <a:avLst/>
        </a:prstGeom>
      </xdr:spPr>
    </xdr:pic>
    <xdr:clientData/>
  </xdr:twoCellAnchor>
  <xdr:twoCellAnchor editAs="oneCell">
    <xdr:from>
      <xdr:col>0</xdr:col>
      <xdr:colOff>0</xdr:colOff>
      <xdr:row>94</xdr:row>
      <xdr:rowOff>0</xdr:rowOff>
    </xdr:from>
    <xdr:to>
      <xdr:col>14</xdr:col>
      <xdr:colOff>446420</xdr:colOff>
      <xdr:row>104</xdr:row>
      <xdr:rowOff>56929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116300"/>
          <a:ext cx="10047620" cy="1771429"/>
        </a:xfrm>
        <a:prstGeom prst="rect">
          <a:avLst/>
        </a:prstGeom>
      </xdr:spPr>
    </xdr:pic>
    <xdr:clientData/>
  </xdr:twoCellAnchor>
  <xdr:twoCellAnchor editAs="oneCell">
    <xdr:from>
      <xdr:col>0</xdr:col>
      <xdr:colOff>0</xdr:colOff>
      <xdr:row>105</xdr:row>
      <xdr:rowOff>0</xdr:rowOff>
    </xdr:from>
    <xdr:to>
      <xdr:col>14</xdr:col>
      <xdr:colOff>351182</xdr:colOff>
      <xdr:row>116</xdr:row>
      <xdr:rowOff>37860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002250"/>
          <a:ext cx="9952382" cy="1923810"/>
        </a:xfrm>
        <a:prstGeom prst="rect">
          <a:avLst/>
        </a:prstGeom>
      </xdr:spPr>
    </xdr:pic>
    <xdr:clientData/>
  </xdr:twoCellAnchor>
  <xdr:twoCellAnchor editAs="oneCell">
    <xdr:from>
      <xdr:col>0</xdr:col>
      <xdr:colOff>0</xdr:colOff>
      <xdr:row>117</xdr:row>
      <xdr:rowOff>0</xdr:rowOff>
    </xdr:from>
    <xdr:to>
      <xdr:col>14</xdr:col>
      <xdr:colOff>341658</xdr:colOff>
      <xdr:row>128</xdr:row>
      <xdr:rowOff>152145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9942858" cy="2038095"/>
        </a:xfrm>
        <a:prstGeom prst="rect">
          <a:avLst/>
        </a:prstGeom>
      </xdr:spPr>
    </xdr:pic>
    <xdr:clientData/>
  </xdr:twoCellAnchor>
  <xdr:twoCellAnchor editAs="oneCell">
    <xdr:from>
      <xdr:col>0</xdr:col>
      <xdr:colOff>0</xdr:colOff>
      <xdr:row>129</xdr:row>
      <xdr:rowOff>0</xdr:rowOff>
    </xdr:from>
    <xdr:to>
      <xdr:col>14</xdr:col>
      <xdr:colOff>55944</xdr:colOff>
      <xdr:row>150</xdr:row>
      <xdr:rowOff>132884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117050"/>
          <a:ext cx="9657144" cy="3733334"/>
        </a:xfrm>
        <a:prstGeom prst="rect">
          <a:avLst/>
        </a:prstGeom>
      </xdr:spPr>
    </xdr:pic>
    <xdr:clientData/>
  </xdr:twoCellAnchor>
  <xdr:twoCellAnchor editAs="oneCell">
    <xdr:from>
      <xdr:col>0</xdr:col>
      <xdr:colOff>0</xdr:colOff>
      <xdr:row>151</xdr:row>
      <xdr:rowOff>0</xdr:rowOff>
    </xdr:from>
    <xdr:to>
      <xdr:col>14</xdr:col>
      <xdr:colOff>17848</xdr:colOff>
      <xdr:row>172</xdr:row>
      <xdr:rowOff>18598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888950"/>
          <a:ext cx="9619048" cy="3619048"/>
        </a:xfrm>
        <a:prstGeom prst="rect">
          <a:avLst/>
        </a:prstGeom>
      </xdr:spPr>
    </xdr:pic>
    <xdr:clientData/>
  </xdr:twoCellAnchor>
  <xdr:twoCellAnchor editAs="oneCell">
    <xdr:from>
      <xdr:col>15</xdr:col>
      <xdr:colOff>0</xdr:colOff>
      <xdr:row>0</xdr:row>
      <xdr:rowOff>0</xdr:rowOff>
    </xdr:from>
    <xdr:to>
      <xdr:col>27</xdr:col>
      <xdr:colOff>492533</xdr:colOff>
      <xdr:row>29</xdr:row>
      <xdr:rowOff>39727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253382" y="0"/>
          <a:ext cx="8695239" cy="4914286"/>
        </a:xfrm>
        <a:prstGeom prst="rect">
          <a:avLst/>
        </a:prstGeom>
      </xdr:spPr>
    </xdr:pic>
    <xdr:clientData/>
  </xdr:twoCellAnchor>
  <xdr:twoCellAnchor editAs="oneCell">
    <xdr:from>
      <xdr:col>15</xdr:col>
      <xdr:colOff>0</xdr:colOff>
      <xdr:row>30</xdr:row>
      <xdr:rowOff>0</xdr:rowOff>
    </xdr:from>
    <xdr:to>
      <xdr:col>27</xdr:col>
      <xdr:colOff>502057</xdr:colOff>
      <xdr:row>58</xdr:row>
      <xdr:rowOff>122101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253382" y="5042647"/>
          <a:ext cx="8704763" cy="4828572"/>
        </a:xfrm>
        <a:prstGeom prst="rect">
          <a:avLst/>
        </a:prstGeom>
      </xdr:spPr>
    </xdr:pic>
    <xdr:clientData/>
  </xdr:twoCellAnchor>
  <xdr:twoCellAnchor editAs="oneCell">
    <xdr:from>
      <xdr:col>15</xdr:col>
      <xdr:colOff>0</xdr:colOff>
      <xdr:row>59</xdr:row>
      <xdr:rowOff>0</xdr:rowOff>
    </xdr:from>
    <xdr:to>
      <xdr:col>26</xdr:col>
      <xdr:colOff>14187</xdr:colOff>
      <xdr:row>88</xdr:row>
      <xdr:rowOff>20679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0253382" y="9917206"/>
          <a:ext cx="7533334" cy="4895238"/>
        </a:xfrm>
        <a:prstGeom prst="rect">
          <a:avLst/>
        </a:prstGeom>
      </xdr:spPr>
    </xdr:pic>
    <xdr:clientData/>
  </xdr:twoCellAnchor>
  <xdr:twoCellAnchor editAs="oneCell">
    <xdr:from>
      <xdr:col>15</xdr:col>
      <xdr:colOff>0</xdr:colOff>
      <xdr:row>89</xdr:row>
      <xdr:rowOff>0</xdr:rowOff>
    </xdr:from>
    <xdr:to>
      <xdr:col>27</xdr:col>
      <xdr:colOff>444914</xdr:colOff>
      <xdr:row>117</xdr:row>
      <xdr:rowOff>36386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0253382" y="14959853"/>
          <a:ext cx="8647620" cy="4742857"/>
        </a:xfrm>
        <a:prstGeom prst="rect">
          <a:avLst/>
        </a:prstGeom>
      </xdr:spPr>
    </xdr:pic>
    <xdr:clientData/>
  </xdr:twoCellAnchor>
  <xdr:twoCellAnchor editAs="oneCell">
    <xdr:from>
      <xdr:col>15</xdr:col>
      <xdr:colOff>0</xdr:colOff>
      <xdr:row>118</xdr:row>
      <xdr:rowOff>0</xdr:rowOff>
    </xdr:from>
    <xdr:to>
      <xdr:col>26</xdr:col>
      <xdr:colOff>518949</xdr:colOff>
      <xdr:row>147</xdr:row>
      <xdr:rowOff>58775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53382" y="19834412"/>
          <a:ext cx="8038096" cy="4933334"/>
        </a:xfrm>
        <a:prstGeom prst="rect">
          <a:avLst/>
        </a:prstGeom>
      </xdr:spPr>
    </xdr:pic>
    <xdr:clientData/>
  </xdr:twoCellAnchor>
  <xdr:twoCellAnchor editAs="oneCell">
    <xdr:from>
      <xdr:col>15</xdr:col>
      <xdr:colOff>0</xdr:colOff>
      <xdr:row>148</xdr:row>
      <xdr:rowOff>0</xdr:rowOff>
    </xdr:from>
    <xdr:to>
      <xdr:col>27</xdr:col>
      <xdr:colOff>425866</xdr:colOff>
      <xdr:row>176</xdr:row>
      <xdr:rowOff>45911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253382" y="24877059"/>
          <a:ext cx="8628572" cy="4752381"/>
        </a:xfrm>
        <a:prstGeom prst="rect">
          <a:avLst/>
        </a:prstGeom>
      </xdr:spPr>
    </xdr:pic>
    <xdr:clientData/>
  </xdr:twoCellAnchor>
  <xdr:twoCellAnchor editAs="oneCell">
    <xdr:from>
      <xdr:col>0</xdr:col>
      <xdr:colOff>0</xdr:colOff>
      <xdr:row>173</xdr:row>
      <xdr:rowOff>0</xdr:rowOff>
    </xdr:from>
    <xdr:to>
      <xdr:col>17</xdr:col>
      <xdr:colOff>303310</xdr:colOff>
      <xdr:row>187</xdr:row>
      <xdr:rowOff>27718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9079265"/>
          <a:ext cx="11923810" cy="2380953"/>
        </a:xfrm>
        <a:prstGeom prst="rect">
          <a:avLst/>
        </a:prstGeom>
      </xdr:spPr>
    </xdr:pic>
    <xdr:clientData/>
  </xdr:twoCellAnchor>
  <xdr:twoCellAnchor editAs="oneCell">
    <xdr:from>
      <xdr:col>0</xdr:col>
      <xdr:colOff>0</xdr:colOff>
      <xdr:row>187</xdr:row>
      <xdr:rowOff>0</xdr:rowOff>
    </xdr:from>
    <xdr:to>
      <xdr:col>16</xdr:col>
      <xdr:colOff>558298</xdr:colOff>
      <xdr:row>200</xdr:row>
      <xdr:rowOff>62472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1432500"/>
          <a:ext cx="11495239" cy="2247619"/>
        </a:xfrm>
        <a:prstGeom prst="rect">
          <a:avLst/>
        </a:prstGeom>
      </xdr:spPr>
    </xdr:pic>
    <xdr:clientData/>
  </xdr:twoCellAnchor>
  <xdr:twoCellAnchor editAs="oneCell">
    <xdr:from>
      <xdr:col>0</xdr:col>
      <xdr:colOff>0</xdr:colOff>
      <xdr:row>201</xdr:row>
      <xdr:rowOff>0</xdr:rowOff>
    </xdr:from>
    <xdr:to>
      <xdr:col>17</xdr:col>
      <xdr:colOff>236644</xdr:colOff>
      <xdr:row>213</xdr:row>
      <xdr:rowOff>144846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3785735"/>
          <a:ext cx="11857144" cy="2161905"/>
        </a:xfrm>
        <a:prstGeom prst="rect">
          <a:avLst/>
        </a:prstGeom>
      </xdr:spPr>
    </xdr:pic>
    <xdr:clientData/>
  </xdr:twoCellAnchor>
  <xdr:twoCellAnchor editAs="oneCell">
    <xdr:from>
      <xdr:col>0</xdr:col>
      <xdr:colOff>0</xdr:colOff>
      <xdr:row>214</xdr:row>
      <xdr:rowOff>0</xdr:rowOff>
    </xdr:from>
    <xdr:to>
      <xdr:col>17</xdr:col>
      <xdr:colOff>160453</xdr:colOff>
      <xdr:row>226</xdr:row>
      <xdr:rowOff>154370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5970882"/>
          <a:ext cx="11780953" cy="2171429"/>
        </a:xfrm>
        <a:prstGeom prst="rect">
          <a:avLst/>
        </a:prstGeom>
      </xdr:spPr>
    </xdr:pic>
    <xdr:clientData/>
  </xdr:twoCellAnchor>
  <xdr:twoCellAnchor editAs="oneCell">
    <xdr:from>
      <xdr:col>0</xdr:col>
      <xdr:colOff>0</xdr:colOff>
      <xdr:row>228</xdr:row>
      <xdr:rowOff>0</xdr:rowOff>
    </xdr:from>
    <xdr:to>
      <xdr:col>12</xdr:col>
      <xdr:colOff>597295</xdr:colOff>
      <xdr:row>237</xdr:row>
      <xdr:rowOff>30063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38324118"/>
          <a:ext cx="8800001" cy="1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1335;&#20140;-A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1335;&#20140;-A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车位"/>
      <sheetName val="土地案例"/>
      <sheetName val="案例"/>
      <sheetName val="案例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164792.5</v>
          </cell>
        </row>
      </sheetData>
      <sheetData sheetId="13" refreshError="1"/>
      <sheetData sheetId="14" refreshError="1"/>
      <sheetData sheetId="15">
        <row r="14">
          <cell r="B14">
            <v>231063.5</v>
          </cell>
          <cell r="C14">
            <v>85512.1</v>
          </cell>
          <cell r="D14">
            <v>115682</v>
          </cell>
          <cell r="G14">
            <v>115682</v>
          </cell>
          <cell r="H14" t="str">
            <v>——</v>
          </cell>
          <cell r="I14">
            <v>107543</v>
          </cell>
        </row>
      </sheetData>
      <sheetData sheetId="16">
        <row r="46">
          <cell r="C46">
            <v>107543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雪馆"/>
      <sheetName val="雪馆收入计算"/>
      <sheetName val="不动产收益法-酒店"/>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不动产收益法-商业"/>
      <sheetName val="不动产比较法-公寓"/>
      <sheetName val="不动产收益法-车位"/>
      <sheetName val="土地案例"/>
      <sheetName val="案例"/>
      <sheetName val="案例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168679.4</v>
          </cell>
        </row>
      </sheetData>
      <sheetData sheetId="13" refreshError="1"/>
      <sheetData sheetId="14" refreshError="1"/>
      <sheetData sheetId="15">
        <row r="14">
          <cell r="B14">
            <v>252408.4</v>
          </cell>
          <cell r="C14">
            <v>85482.4</v>
          </cell>
          <cell r="D14">
            <v>50771</v>
          </cell>
          <cell r="G14">
            <v>50771</v>
          </cell>
          <cell r="H14" t="str">
            <v>——</v>
          </cell>
          <cell r="I14">
            <v>48038</v>
          </cell>
        </row>
      </sheetData>
      <sheetData sheetId="16">
        <row r="46">
          <cell r="C46">
            <v>48038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2649</v>
      </c>
      <c r="B1" s="2846" t="s">
        <v>2746</v>
      </c>
    </row>
    <row r="2" spans="1:55" s="2850" customFormat="1" ht="15" thickTop="1">
      <c r="A2" s="2848" t="s">
        <v>2653</v>
      </c>
      <c r="B2" s="2849" t="str">
        <f>'预评函-封皮'!B37</f>
        <v>江苏省南京市浦口区总部大道以北地块出让国有建设用地使用权抵押价格预评估</v>
      </c>
      <c r="AX2" s="2851"/>
      <c r="AZ2" s="2851"/>
      <c r="BA2" s="2852"/>
      <c r="BC2" s="2852"/>
    </row>
    <row r="3" spans="1:55" s="2853" customFormat="1">
      <c r="A3" s="2832" t="s">
        <v>2654</v>
      </c>
      <c r="B3" s="2835" t="str">
        <f>'预评函-封皮'!B40</f>
        <v>南京启迪科技新城发展有限公司</v>
      </c>
    </row>
    <row r="4" spans="1:55" s="2834" customFormat="1">
      <c r="A4" s="2832" t="s">
        <v>2655</v>
      </c>
      <c r="B4" s="2833" t="str">
        <f>'预评函-封皮'!B46</f>
        <v>赵雯、王鹏</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2656</v>
      </c>
      <c r="B5" s="2855" t="str">
        <f>'预评函-封皮'!B49</f>
        <v>康正预评字号</v>
      </c>
    </row>
    <row r="6" spans="1:55" s="2856" customFormat="1" ht="15" thickTop="1">
      <c r="A6" s="2848" t="s">
        <v>2698</v>
      </c>
      <c r="B6" s="2849" t="str">
        <f>'预评函-1'!A4</f>
        <v>受贵公司委托，我公司对江苏省南京市浦口区总部大道以北地块出让国有建设用地使用权抵押价格进行了预评估。</v>
      </c>
      <c r="AM6" s="2857"/>
    </row>
    <row r="7" spans="1:55" s="2831" customFormat="1">
      <c r="A7" s="2832" t="s">
        <v>2650</v>
      </c>
      <c r="B7" s="2833" t="str">
        <f>'预评函-1'!A6</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8" spans="1:55" s="2831" customFormat="1">
      <c r="A8" s="2832" t="s">
        <v>2651</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2701</v>
      </c>
      <c r="B9" s="2833"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2652</v>
      </c>
      <c r="B10" s="2833" t="str">
        <f>'预评函-1'!A11</f>
        <v>2019年6月13日（评估专业人员勘察现场之日）</v>
      </c>
    </row>
    <row r="11" spans="1:55" s="2831" customFormat="1">
      <c r="A11" s="2832" t="s">
        <v>2658</v>
      </c>
      <c r="B11" s="2833" t="str">
        <f>'预评函-1'!A14</f>
        <v>根据《国有建设用地使用权出让合同》[]及附件、《北京市规划委员会关于同意XX项目的规划设计方案的规划意见复函》[]以及《建设工程规划许可证》[]，本次评估估价对象证载（地类）用途为二类居住用地。</v>
      </c>
    </row>
    <row r="12" spans="1:55" s="2831" customFormat="1">
      <c r="A12" s="2832" t="s">
        <v>2659</v>
      </c>
      <c r="B12" s="2833" t="str">
        <f>'预评函-1'!A15</f>
        <v>本次评估设定用途即为证载用途住宅。</v>
      </c>
    </row>
    <row r="13" spans="1:55" s="2831" customFormat="1">
      <c r="A13" s="2832" t="s">
        <v>2660</v>
      </c>
      <c r="B13" s="2833" t="str">
        <f>'预评函-1'!A17</f>
        <v>根据委托估价方介绍及评估专业人员现场勘查，本次评估估价对象实际土地开发程度为红线外市政基础设施达“六通”（即通路、通电、通讯、通上水、通下水、燃气）、宗地红线内场地未平整，。</v>
      </c>
    </row>
    <row r="14" spans="1:55" s="2831" customFormat="1">
      <c r="A14" s="2832" t="s">
        <v>2661</v>
      </c>
      <c r="B14" s="2833" t="str">
        <f>'预评函-1'!A18</f>
        <v>本次评估设定土地开发程度为红线外市政基础设施达“六通”、宗地红线内场地未平整。</v>
      </c>
    </row>
    <row r="15" spans="1:55" s="2831" customFormat="1">
      <c r="A15" s="2832" t="s">
        <v>2657</v>
      </c>
      <c r="B15" s="2833" t="str">
        <f>'预评函-1'!A20</f>
        <v>根据《出让合同》[]，估价对象（分摊）出让国有建设用地使用权面积为77285.8平方米。根据《经济技术指标》[]，估价对象规划建筑面积为240271.9平方米。</v>
      </c>
    </row>
    <row r="16" spans="1:55" s="2831" customFormat="1">
      <c r="A16" s="2832" t="s">
        <v>2662</v>
      </c>
      <c r="B16" s="2833" t="str">
        <f>'预评函-1'!A22</f>
        <v>本次估价对象为出让国有建设用地使用权，《国有建设用地使用权出让合同》[]及附件、《北京市规划委员会关于同意XX项目的规划设计方案的规划意见复函》[]以及《建设工程规划许可证》[]证载土地终止日期为住宅2081年12月7日、商业2051年12月7日、办公2061年12月7日、车库2061年12月7日、仓储2061年12月7日、工业2061年12月7日。截至估价期日，出让国有建设用地使用权剩余土地使用年限为。</v>
      </c>
    </row>
    <row r="17" spans="1:48" s="2831" customFormat="1">
      <c r="A17" s="2832" t="s">
        <v>2663</v>
      </c>
      <c r="B17" s="2833" t="str">
        <f>'预评函-1'!A23</f>
        <v>本次评估设定估价对象剩余土地使用年限为。</v>
      </c>
    </row>
    <row r="18" spans="1:48" s="2831" customFormat="1">
      <c r="A18" s="2832" t="s">
        <v>2664</v>
      </c>
      <c r="B18" s="2833" t="str">
        <f>'预评函-1'!A25</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19" spans="1:48" s="2831" customFormat="1">
      <c r="A19" s="2832" t="s">
        <v>2665</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2666</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2667</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2668</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2669</v>
      </c>
      <c r="B23" s="2833" t="str">
        <f>'预评函-2'!K2</f>
        <v>估价期日：2019年6月13日</v>
      </c>
    </row>
    <row r="24" spans="1:48">
      <c r="A24" s="2832" t="s">
        <v>2670</v>
      </c>
      <c r="B24" s="2833" t="str">
        <f>'预评函-2'!R2</f>
        <v>估价期日的国有建设用地使用权性质：出让</v>
      </c>
    </row>
    <row r="25" spans="1:48">
      <c r="A25" s="2832" t="s">
        <v>2726</v>
      </c>
      <c r="B25" s="2833" t="str">
        <f>'预评函-2'!A3</f>
        <v>估价期日土地使用者</v>
      </c>
    </row>
    <row r="26" spans="1:48">
      <c r="A26" s="2832" t="s">
        <v>2702</v>
      </c>
      <c r="B26" s="2833" t="str">
        <f>'预评函-2'!A5</f>
        <v>中信开发</v>
      </c>
    </row>
    <row r="27" spans="1:48">
      <c r="A27" s="2832" t="s">
        <v>2727</v>
      </c>
      <c r="B27" s="2833" t="str">
        <f>'预评函-2'!B3</f>
        <v>宗地编号/不动产单元号</v>
      </c>
    </row>
    <row r="28" spans="1:48">
      <c r="A28" s="2832" t="s">
        <v>2703</v>
      </c>
      <c r="B28" s="2833" t="str">
        <f>'预评函-2'!B5</f>
        <v>11111111111</v>
      </c>
    </row>
    <row r="29" spans="1:48">
      <c r="A29" s="2832" t="s">
        <v>2729</v>
      </c>
      <c r="B29" s="2833">
        <f>'预评函-2'!C5</f>
        <v>22</v>
      </c>
    </row>
    <row r="30" spans="1:48">
      <c r="A30" s="2832" t="s">
        <v>2730</v>
      </c>
      <c r="B30" s="2833" t="str">
        <f>'预评函-2'!D3</f>
        <v>土地使用证编号/不动产权证书编号</v>
      </c>
    </row>
    <row r="31" spans="1:48">
      <c r="A31" s="2832" t="s">
        <v>2704</v>
      </c>
      <c r="B31" s="2833" t="str">
        <f>'预评函-2'!D5</f>
        <v>京国土字第111号</v>
      </c>
    </row>
    <row r="32" spans="1:48">
      <c r="A32" s="2832" t="s">
        <v>2705</v>
      </c>
      <c r="B32" s="2833" t="str">
        <f>'预评函-2'!E5</f>
        <v>二类居住用地</v>
      </c>
      <c r="AV32" s="2837"/>
    </row>
    <row r="33" spans="1:2">
      <c r="A33" s="2832" t="s">
        <v>2706</v>
      </c>
      <c r="B33" s="2833">
        <f>'预评函-2'!F5</f>
        <v>258</v>
      </c>
    </row>
    <row r="34" spans="1:2">
      <c r="A34" s="2832" t="s">
        <v>2707</v>
      </c>
      <c r="B34" s="2833" t="str">
        <f>'预评函-2'!G5</f>
        <v>住宅</v>
      </c>
    </row>
    <row r="35" spans="1:2">
      <c r="A35" s="2832" t="s">
        <v>2708</v>
      </c>
      <c r="B35" s="2833">
        <f>'预评函-2'!H5</f>
        <v>1.5</v>
      </c>
    </row>
    <row r="36" spans="1:2">
      <c r="A36" s="2832" t="s">
        <v>2709</v>
      </c>
      <c r="B36" s="2833">
        <f>'预评函-2'!I5</f>
        <v>1.5</v>
      </c>
    </row>
    <row r="37" spans="1:2">
      <c r="A37" s="2832" t="s">
        <v>2710</v>
      </c>
      <c r="B37" s="2833">
        <f>'预评函-2'!J5</f>
        <v>1.5</v>
      </c>
    </row>
    <row r="38" spans="1:2">
      <c r="A38" s="2832" t="s">
        <v>2711</v>
      </c>
      <c r="B38" s="2833" t="str">
        <f>'预评函-2'!K5</f>
        <v>红线外六通、宗地红线内场地未平整</v>
      </c>
    </row>
    <row r="39" spans="1:2">
      <c r="A39" s="2832" t="s">
        <v>2712</v>
      </c>
      <c r="B39" s="2833" t="str">
        <f>'预评函-2'!L5</f>
        <v>红线外六通、宗地红线内场地未平整</v>
      </c>
    </row>
    <row r="40" spans="1:2">
      <c r="A40" s="2832" t="s">
        <v>2731</v>
      </c>
      <c r="B40" s="2833" t="str">
        <f>'预评函-2'!M3</f>
        <v>（剩余）土地使用年限/年</v>
      </c>
    </row>
    <row r="41" spans="1:2">
      <c r="A41" s="2832" t="s">
        <v>2713</v>
      </c>
      <c r="B41" s="2833">
        <f>'预评函-2'!M5</f>
        <v>0</v>
      </c>
    </row>
    <row r="42" spans="1:2">
      <c r="A42" s="2832" t="s">
        <v>2732</v>
      </c>
      <c r="B42" s="2833" t="str">
        <f>'预评函-2'!N3</f>
        <v>（分摊）出让国有建设用地使用权面积/㎡</v>
      </c>
    </row>
    <row r="43" spans="1:2">
      <c r="A43" s="2832" t="s">
        <v>2714</v>
      </c>
      <c r="B43" s="2833">
        <f>'预评函-2'!N5</f>
        <v>77285.8</v>
      </c>
    </row>
    <row r="44" spans="1:2">
      <c r="A44" s="2832" t="s">
        <v>2733</v>
      </c>
      <c r="B44" s="2833" t="str">
        <f>'预评函-2'!O3</f>
        <v>规划建筑面积/㎡</v>
      </c>
    </row>
    <row r="45" spans="1:2">
      <c r="A45" s="2832" t="s">
        <v>2715</v>
      </c>
      <c r="B45" s="2833">
        <f>'预评函-2'!O5</f>
        <v>240271.90000000002</v>
      </c>
    </row>
    <row r="46" spans="1:2">
      <c r="A46" s="2832" t="s">
        <v>2716</v>
      </c>
      <c r="B46" s="2833">
        <f ca="1">'预评函-2'!P5</f>
        <v>56722</v>
      </c>
    </row>
    <row r="47" spans="1:2">
      <c r="A47" s="2832" t="s">
        <v>2717</v>
      </c>
      <c r="B47" s="2833">
        <f ca="1">'预评函-2'!Q5</f>
        <v>18245</v>
      </c>
    </row>
    <row r="48" spans="1:2">
      <c r="A48" s="2832" t="s">
        <v>2718</v>
      </c>
      <c r="B48" s="2833">
        <f ca="1">'预评函-2'!R5</f>
        <v>438377</v>
      </c>
    </row>
    <row r="49" spans="1:2">
      <c r="A49" s="2832" t="s">
        <v>2734</v>
      </c>
      <c r="B49" s="2833" t="str">
        <f>'预评函-2'!A6</f>
        <v>抵押价格</v>
      </c>
    </row>
    <row r="50" spans="1:2">
      <c r="A50" s="2832" t="s">
        <v>2719</v>
      </c>
      <c r="B50" s="2833">
        <f ca="1">'预评函-2'!R6</f>
        <v>438377</v>
      </c>
    </row>
    <row r="51" spans="1:2">
      <c r="A51" s="2832" t="s">
        <v>2735</v>
      </c>
      <c r="B51" s="2833" t="str">
        <f>'预评函-2'!A7</f>
        <v>——</v>
      </c>
    </row>
    <row r="52" spans="1:2">
      <c r="A52" s="2832" t="s">
        <v>2720</v>
      </c>
      <c r="B52" s="2833" t="str">
        <f>'预评函-2'!R7</f>
        <v>——</v>
      </c>
    </row>
    <row r="53" spans="1:2">
      <c r="A53" s="2832" t="s">
        <v>2736</v>
      </c>
      <c r="B53" s="2833" t="str">
        <f>'预评函-2'!A8</f>
        <v>抵押净值</v>
      </c>
    </row>
    <row r="54" spans="1:2" s="2847" customFormat="1" ht="15" thickBot="1">
      <c r="A54" s="2854" t="s">
        <v>2721</v>
      </c>
      <c r="B54" s="2855">
        <f ca="1">'预评函-2'!R8</f>
        <v>268546</v>
      </c>
    </row>
    <row r="55" spans="1:2" ht="15" thickTop="1">
      <c r="A55" s="2843" t="s">
        <v>2671</v>
      </c>
      <c r="B55" s="2844" t="str">
        <f>'预评函-3'!A2</f>
        <v>1.权利限制：根据估价对象、，截至估价期日，估价对象抵押权未见登记。未设定租赁等其他他项权利。</v>
      </c>
    </row>
    <row r="56" spans="1:2">
      <c r="A56" s="2832" t="s">
        <v>2672</v>
      </c>
      <c r="B56" s="2833" t="str">
        <f>'预评函-3'!A3</f>
        <v>2.基础设施条件：估价对象实际开发程度为红线外六通、宗地红线内场地未平整；本次评估设定开发程度为红线外六通、宗地红线内场地未平整。</v>
      </c>
    </row>
    <row r="57" spans="1:2">
      <c r="A57" s="2832" t="s">
        <v>2673</v>
      </c>
      <c r="B57" s="2833" t="str">
        <f>'预评函-3'!A4</f>
        <v>3.估价规划限制条件：详见《经济技术指标》[]。</v>
      </c>
    </row>
    <row r="58" spans="1:2" s="2847" customFormat="1" ht="15" thickBot="1">
      <c r="A58" s="2854" t="s">
        <v>2722</v>
      </c>
      <c r="B58" s="2855" t="str">
        <f>'预评函-3'!A5</f>
        <v>4.影响价格的其他限定条件：无。</v>
      </c>
    </row>
    <row r="59" spans="1:2" ht="15" thickTop="1">
      <c r="A59" s="2843" t="s">
        <v>2674</v>
      </c>
      <c r="B59" s="2844" t="str">
        <f>'预评函-3'!A8</f>
        <v>2.本《评估意见函》仅供金融机构进行内部审核使用，不做其他目的之用。</v>
      </c>
    </row>
    <row r="60" spans="1:2">
      <c r="A60" s="2832" t="s">
        <v>2675</v>
      </c>
      <c r="B60" s="2833" t="str">
        <f>'预评函-3'!A9</f>
        <v>3.抵押双方在办理抵押登记手续时，应使用本公司出具的正式《土地估价报告》，特提请报告使用者注意。</v>
      </c>
    </row>
    <row r="61" spans="1:2">
      <c r="A61" s="2832" t="s">
        <v>2677</v>
      </c>
      <c r="B61" s="2833" t="str">
        <f>'预评函-3'!A10</f>
        <v>4.估价师所知悉的法定优先受偿款情况为：</v>
      </c>
    </row>
    <row r="62" spans="1:2">
      <c r="A62" s="2832" t="s">
        <v>2676</v>
      </c>
      <c r="B62" s="2833" t="str">
        <f>'预评函-3'!A11</f>
        <v>（1）根据估价对象、，截至估价期日，估价对象抵押权未见登记。</v>
      </c>
    </row>
    <row r="63" spans="1:2">
      <c r="A63" s="2832" t="s">
        <v>2678</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2679</v>
      </c>
      <c r="B64" s="2838" t="str">
        <f>'预评函-3'!A13</f>
        <v>（3）。</v>
      </c>
    </row>
    <row r="65" spans="1:2">
      <c r="A65" s="2832" t="s">
        <v>2680</v>
      </c>
      <c r="B65" s="2839" t="str">
        <f>'预评函-3'!A14</f>
        <v>综上，本次评估不存在估价师知悉的法定优先受偿款</v>
      </c>
    </row>
    <row r="66" spans="1:2">
      <c r="A66" s="2832" t="s">
        <v>2681</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2682</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2685</v>
      </c>
      <c r="B68" s="2858">
        <f>'预评函-3'!D30</f>
        <v>42558</v>
      </c>
    </row>
    <row r="69" spans="1:2" ht="15" thickTop="1">
      <c r="A69" s="2843" t="s">
        <v>2683</v>
      </c>
      <c r="B69" s="2844" t="str">
        <f>'预评函-3'!A20</f>
        <v>赵雯</v>
      </c>
    </row>
    <row r="70" spans="1:2">
      <c r="A70" s="2832" t="s">
        <v>2683</v>
      </c>
      <c r="B70" s="2839">
        <f ca="1">'预评函-3'!B20</f>
        <v>2011110090</v>
      </c>
    </row>
    <row r="71" spans="1:2">
      <c r="A71" s="2832" t="s">
        <v>2684</v>
      </c>
      <c r="B71" s="2833" t="str">
        <f>'预评函-3'!A21</f>
        <v>王鹏</v>
      </c>
    </row>
    <row r="72" spans="1:2" s="2847" customFormat="1" ht="15" thickBot="1">
      <c r="A72" s="2854" t="s">
        <v>2684</v>
      </c>
      <c r="B72" s="2860">
        <f ca="1">'预评函-3'!B21</f>
        <v>2002110030</v>
      </c>
    </row>
    <row r="73" spans="1:2" ht="15" thickTop="1">
      <c r="A73" s="2843" t="s">
        <v>2743</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2744</v>
      </c>
      <c r="B74" s="2840" t="str">
        <f>'预评函-1 (储备)'!A18</f>
        <v>由于本次评估估价目的是评估储备国有建设用地使用权的“抵押价格”，因此本次评估设定土地开发程度为红线外市政基础设施达“六通”、宗地红线内场地平整。</v>
      </c>
    </row>
    <row r="75" spans="1:2" s="2847" customFormat="1" ht="15" thickBot="1">
      <c r="A75" s="2854" t="s">
        <v>2745</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C43" sqref="C43"/>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327" t="str">
        <f>IF(B10="北京市","北京市",C10)&amp;F10&amp;B16&amp;"国有建设用地使用权"&amp;B9&amp;"预评估"</f>
        <v>江苏省南京市浦口区总部大道以北地块出让国有建设用地使用权抵押价格预评估</v>
      </c>
      <c r="C1" s="3328"/>
      <c r="D1" s="3328"/>
      <c r="E1" s="3328"/>
      <c r="F1" s="3328"/>
      <c r="G1" s="3328"/>
      <c r="H1" s="3328"/>
      <c r="I1" s="3329"/>
      <c r="J1" s="1677"/>
      <c r="K1" s="2418" t="str">
        <f>IF(B10="北京市","北京市",C10)&amp;F10&amp;B16&amp;"国有建设用地使用权"&amp;B9</f>
        <v>江苏省南京市浦口区总部大道以北地块出让国有建设用地使用权抵押价格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江苏省南京市浦口区总部大道以北地块出让国有建设用地使用权</v>
      </c>
      <c r="L2" s="1706"/>
      <c r="M2" s="1706"/>
      <c r="N2" s="1677"/>
      <c r="O2" s="1678"/>
      <c r="P2" s="1677"/>
      <c r="Q2" s="1677"/>
      <c r="R2" s="1677"/>
      <c r="S2" s="1677"/>
      <c r="T2" s="1677"/>
      <c r="U2" s="1677"/>
    </row>
    <row r="3" spans="1:21">
      <c r="A3" s="1644" t="s">
        <v>1938</v>
      </c>
      <c r="B3" s="1645">
        <v>43629</v>
      </c>
      <c r="C3" s="1646" t="s">
        <v>1992</v>
      </c>
      <c r="D3" s="1645">
        <f>B3</f>
        <v>43629</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3395</v>
      </c>
      <c r="C4" s="1829">
        <f ca="1">SUMIF(土地估价师,B4,估价师及机构信息!E3:E24)</f>
        <v>2011110090</v>
      </c>
      <c r="D4" s="1826" t="s">
        <v>3396</v>
      </c>
      <c r="E4" s="1829">
        <f ca="1">SUMIF(土地估价师,D4,估价师及机构信息!E3:E24)</f>
        <v>2002110030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赵雯、王鹏</v>
      </c>
      <c r="L4" s="1706"/>
      <c r="M4" s="1706"/>
      <c r="N4" s="1677"/>
      <c r="O4" s="1678"/>
      <c r="P4" s="1677"/>
      <c r="Q4" s="1677"/>
      <c r="R4" s="1677"/>
      <c r="S4" s="1677"/>
      <c r="T4" s="1677"/>
      <c r="U4" s="1677"/>
    </row>
    <row r="5" spans="1:21" ht="15" thickTop="1">
      <c r="A5" s="1648" t="s">
        <v>1940</v>
      </c>
      <c r="B5" s="1772" t="s">
        <v>3397</v>
      </c>
      <c r="C5" s="1649"/>
      <c r="D5" s="1650"/>
      <c r="E5" s="1677"/>
      <c r="F5" s="1677"/>
      <c r="G5" s="1677"/>
      <c r="H5" s="1643"/>
      <c r="I5" s="1678"/>
      <c r="J5" s="1677"/>
      <c r="K5" s="1757"/>
      <c r="L5" s="1706"/>
      <c r="M5" s="1706"/>
      <c r="N5" s="1677"/>
      <c r="O5" s="1678"/>
      <c r="P5" s="1677"/>
      <c r="Q5" s="1677"/>
      <c r="R5" s="1677"/>
      <c r="S5" s="1677"/>
      <c r="T5" s="1677"/>
      <c r="U5" s="1677"/>
    </row>
    <row r="6" spans="1:21" ht="26.25">
      <c r="A6" s="1646" t="s">
        <v>2699</v>
      </c>
      <c r="B6" s="1772" t="s">
        <v>3398</v>
      </c>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2700</v>
      </c>
      <c r="B7" s="1772" t="str">
        <f>B5</f>
        <v>南京启迪科技新城发展有限公司</v>
      </c>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3399</v>
      </c>
      <c r="C8" s="1654"/>
      <c r="D8" s="3333" t="s">
        <v>1943</v>
      </c>
      <c r="E8" s="1827" t="s">
        <v>3400</v>
      </c>
      <c r="F8" s="1655"/>
      <c r="G8" s="1643"/>
      <c r="H8" s="1643"/>
      <c r="I8" s="1690"/>
      <c r="J8" s="1677"/>
      <c r="K8" s="1757"/>
      <c r="L8" s="1706"/>
      <c r="M8" s="1706"/>
      <c r="N8" s="1677"/>
      <c r="O8" s="1678"/>
      <c r="P8" s="1677"/>
      <c r="Q8" s="1677"/>
      <c r="R8" s="1677"/>
      <c r="S8" s="1677"/>
      <c r="T8" s="1677"/>
      <c r="U8" s="1677"/>
    </row>
    <row r="9" spans="1:21" ht="15" thickBot="1">
      <c r="A9" s="1656" t="s">
        <v>1942</v>
      </c>
      <c r="B9" s="1657" t="s">
        <v>3400</v>
      </c>
      <c r="C9" s="1658"/>
      <c r="D9" s="3334"/>
      <c r="E9" s="1657" t="s">
        <v>2847</v>
      </c>
      <c r="F9" s="1730"/>
      <c r="G9" s="1725"/>
      <c r="H9" s="1725"/>
      <c r="I9" s="1726"/>
      <c r="J9" s="1677"/>
      <c r="K9" s="1757"/>
      <c r="L9" s="1706"/>
      <c r="M9" s="1706"/>
      <c r="N9" s="1677"/>
      <c r="O9" s="1678"/>
      <c r="P9" s="1677"/>
      <c r="Q9" s="1677"/>
      <c r="R9" s="1677"/>
      <c r="S9" s="1677"/>
      <c r="T9" s="1677"/>
      <c r="U9" s="1677"/>
    </row>
    <row r="10" spans="1:21" ht="15" thickTop="1">
      <c r="A10" s="1727" t="s">
        <v>1995</v>
      </c>
      <c r="B10" s="1702" t="s">
        <v>3401</v>
      </c>
      <c r="C10" s="1659" t="s">
        <v>3402</v>
      </c>
      <c r="D10" s="1650"/>
      <c r="E10" s="1660" t="s">
        <v>1945</v>
      </c>
      <c r="F10" s="1661" t="s">
        <v>3403</v>
      </c>
      <c r="G10" s="1728"/>
      <c r="H10" s="1729"/>
      <c r="I10" s="1650"/>
      <c r="J10" s="1677"/>
      <c r="K10" s="1757"/>
      <c r="L10" s="1706"/>
      <c r="M10" s="1706"/>
      <c r="N10" s="1677"/>
      <c r="O10" s="1678"/>
      <c r="P10" s="1677"/>
      <c r="Q10" s="1677"/>
      <c r="R10" s="1677"/>
      <c r="S10" s="1677"/>
      <c r="T10" s="1677"/>
      <c r="U10" s="1677"/>
    </row>
    <row r="11" spans="1:21">
      <c r="A11" s="1680" t="s">
        <v>1996</v>
      </c>
      <c r="B11" s="1681" t="s">
        <v>3404</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330" t="s">
        <v>3405</v>
      </c>
      <c r="C12" s="3331"/>
      <c r="D12" s="3332"/>
      <c r="E12" s="1682" t="s">
        <v>2057</v>
      </c>
      <c r="F12" s="3348" t="s">
        <v>2881</v>
      </c>
      <c r="G12" s="3349"/>
      <c r="H12" s="3349"/>
      <c r="I12" s="3350"/>
      <c r="J12" s="1677"/>
      <c r="K12" s="1757"/>
      <c r="L12" s="1706"/>
      <c r="M12" s="1706"/>
      <c r="N12" s="1677"/>
      <c r="O12" s="1678"/>
      <c r="P12" s="1677"/>
      <c r="Q12" s="1677"/>
      <c r="R12" s="1677"/>
      <c r="S12" s="1677"/>
      <c r="T12" s="1677"/>
      <c r="U12" s="1677"/>
    </row>
    <row r="13" spans="1:21">
      <c r="A13" s="1670" t="s">
        <v>2055</v>
      </c>
      <c r="B13" s="3330" t="s">
        <v>3406</v>
      </c>
      <c r="C13" s="3331"/>
      <c r="D13" s="3332"/>
      <c r="E13" s="1682" t="s">
        <v>2057</v>
      </c>
      <c r="F13" s="3348" t="s">
        <v>2881</v>
      </c>
      <c r="G13" s="3349"/>
      <c r="H13" s="3349"/>
      <c r="I13" s="3350"/>
      <c r="J13" s="1677"/>
      <c r="K13" s="1757"/>
      <c r="L13" s="1706"/>
      <c r="M13" s="1706"/>
      <c r="N13" s="1677"/>
      <c r="O13" s="1678"/>
      <c r="P13" s="1677"/>
      <c r="Q13" s="1677"/>
      <c r="R13" s="1677"/>
      <c r="S13" s="1677"/>
      <c r="T13" s="1677"/>
      <c r="U13" s="1677"/>
    </row>
    <row r="14" spans="1:21">
      <c r="A14" s="1644" t="s">
        <v>2058</v>
      </c>
      <c r="B14" s="1682"/>
      <c r="C14" s="1828" t="s">
        <v>3407</v>
      </c>
      <c r="D14" s="1716" t="str">
        <f>IF(C14="不一致","是否符合证载地类范围","")</f>
        <v/>
      </c>
      <c r="E14" s="1682"/>
      <c r="F14" s="1773" t="s">
        <v>3408</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2977</v>
      </c>
      <c r="C16" s="1682" t="s">
        <v>1947</v>
      </c>
      <c r="D16" s="2609" t="s">
        <v>1948</v>
      </c>
      <c r="E16" s="1705" t="s">
        <v>3409</v>
      </c>
      <c r="F16" s="1705" t="s">
        <v>1676</v>
      </c>
      <c r="G16" s="1705" t="s">
        <v>3410</v>
      </c>
      <c r="H16" s="1705" t="s">
        <v>3411</v>
      </c>
      <c r="I16" s="1669" t="s">
        <v>1953</v>
      </c>
      <c r="J16" s="1677"/>
      <c r="K16" s="2419" t="str">
        <f>IF(D17="","",D16&amp;TEXT(D17,"yyyy年m月d日;;"))</f>
        <v>住宅2081年12月7日</v>
      </c>
      <c r="L16" s="1682" t="str">
        <f>IF(OR(K16="",M16=""),"","、")</f>
        <v>、</v>
      </c>
      <c r="M16" s="2419" t="str">
        <f>IF(E17="","",E16&amp;TEXT(E17,"yyyy年m月d日;;"))</f>
        <v>商业2051年12月7日</v>
      </c>
      <c r="N16" s="1682" t="str">
        <f>IF(OR(M16="",O16=""),"","、")</f>
        <v>、</v>
      </c>
      <c r="O16" s="2419" t="str">
        <f>IF(F17="","",F16&amp;TEXT(F17,"yyyy年m月d日;;"))</f>
        <v>办公2061年12月7日</v>
      </c>
      <c r="P16" s="1682" t="str">
        <f>IF(OR(O16="",Q16=""),"","、")</f>
        <v>、</v>
      </c>
      <c r="Q16" s="2419" t="str">
        <f>IF(G17="","",G16&amp;TEXT(G17,"yyyy年m月d日;;"))</f>
        <v>车库2061年12月7日</v>
      </c>
      <c r="R16" s="1682" t="str">
        <f>IF(OR(Q16="",S16=""),"","、")</f>
        <v>、</v>
      </c>
      <c r="S16" s="2419" t="str">
        <f>IF(H17="","",H16&amp;TEXT(H17,"yyyy年m月d日;;"))</f>
        <v>仓储2061年12月7日</v>
      </c>
      <c r="T16" s="1682" t="str">
        <f>IF(OR(S16="",U16=""),"","、")</f>
        <v>、</v>
      </c>
      <c r="U16" s="2419" t="str">
        <f>IF(I17="","",I16&amp;TEXT(I17,"yyyy年m月d日;;"))</f>
        <v>工业2061年12月7日</v>
      </c>
    </row>
    <row r="17" spans="1:21">
      <c r="A17" s="1746"/>
      <c r="B17" s="1665"/>
      <c r="C17" s="1666" t="s">
        <v>1954</v>
      </c>
      <c r="D17" s="1683">
        <v>66452</v>
      </c>
      <c r="E17" s="1683">
        <v>55494</v>
      </c>
      <c r="F17" s="1683">
        <v>59147</v>
      </c>
      <c r="G17" s="1683">
        <f>F17</f>
        <v>59147</v>
      </c>
      <c r="H17" s="1683">
        <f>G17</f>
        <v>59147</v>
      </c>
      <c r="I17" s="1683">
        <f>H17</f>
        <v>59147</v>
      </c>
      <c r="J17" s="1677"/>
      <c r="K17" s="2418" t="str">
        <f>CONCATENATE(K16,L16,M16,N16,O16,P16,Q16,R16,S16,T16,,U16)</f>
        <v>住宅2081年12月7日、商业2051年12月7日、办公2061年12月7日、车库2061年12月7日、仓储2061年12月7日、工业2061年12月7日</v>
      </c>
      <c r="L17" s="1706"/>
      <c r="M17" s="1706"/>
      <c r="N17" s="1677"/>
      <c r="O17" s="1678"/>
      <c r="P17" s="1677"/>
      <c r="Q17" s="1677"/>
      <c r="R17" s="1677"/>
      <c r="S17" s="1677"/>
      <c r="T17" s="1677"/>
      <c r="U17" s="1677"/>
    </row>
    <row r="18" spans="1:21">
      <c r="A18" s="1746"/>
      <c r="B18" s="1665"/>
      <c r="C18" s="1666" t="s">
        <v>1955</v>
      </c>
      <c r="D18" s="1667">
        <v>70</v>
      </c>
      <c r="E18" s="1667">
        <v>40</v>
      </c>
      <c r="F18" s="1667">
        <v>50</v>
      </c>
      <c r="G18" s="1667">
        <v>50</v>
      </c>
      <c r="H18" s="1667">
        <v>50</v>
      </c>
      <c r="I18" s="1667">
        <v>50</v>
      </c>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62.52</v>
      </c>
      <c r="E19" s="1668">
        <f>IF(B16="出让",IF(E17="","",ROUNDDOWN(MIN((E17-$D$3)/365,E18),2)),E18)</f>
        <v>32.5</v>
      </c>
      <c r="F19" s="1668">
        <f>IF(B16="出让",IF(F17="","",ROUNDDOWN(MIN((F17-$D$3)/365,F18),2)),F18)</f>
        <v>42.51</v>
      </c>
      <c r="G19" s="1668">
        <f>IF(B16="出让",IF(G17="","",ROUNDDOWN(MIN((G17-$D$3)/365,G18),2)),G18)</f>
        <v>42.51</v>
      </c>
      <c r="H19" s="1668">
        <f>IF(B16="出让",IF(H17="","",ROUNDDOWN(MIN((H17-$D$3)/365,H18),2)),H18)</f>
        <v>42.51</v>
      </c>
      <c r="I19" s="1668">
        <f>IF(B16="出让",IF(I17="","",ROUNDDOWN(MIN((I17-$D$3)/365,I18),2)),I18)</f>
        <v>42.51</v>
      </c>
      <c r="J19" s="1677"/>
      <c r="K19" s="1757"/>
      <c r="L19" s="1706"/>
      <c r="M19" s="1706"/>
      <c r="N19" s="1677"/>
      <c r="O19" s="1678"/>
      <c r="P19" s="1677"/>
      <c r="Q19" s="1677"/>
      <c r="R19" s="1677"/>
      <c r="S19" s="1677"/>
      <c r="T19" s="1677"/>
      <c r="U19" s="1677"/>
    </row>
    <row r="20" spans="1:21">
      <c r="A20" s="1769"/>
      <c r="B20" s="1770"/>
      <c r="C20" s="1771" t="s">
        <v>2056</v>
      </c>
      <c r="D20" s="3345"/>
      <c r="E20" s="3346"/>
      <c r="F20" s="3346"/>
      <c r="G20" s="3346"/>
      <c r="H20" s="3346"/>
      <c r="I20" s="3347"/>
      <c r="J20" s="1677"/>
      <c r="K20" s="1757"/>
      <c r="L20" s="1706"/>
      <c r="M20" s="1706"/>
      <c r="N20" s="1677"/>
      <c r="O20" s="1678"/>
      <c r="P20" s="1677"/>
      <c r="Q20" s="1677"/>
      <c r="R20" s="1677"/>
      <c r="S20" s="1677"/>
      <c r="T20" s="1677"/>
      <c r="U20" s="1677"/>
    </row>
    <row r="21" spans="1:21">
      <c r="A21" s="1746" t="s">
        <v>1957</v>
      </c>
      <c r="B21" s="1747" t="s">
        <v>1958</v>
      </c>
      <c r="C21" s="1742">
        <f>'数据-汇总表'!E3</f>
        <v>240271.90000000002</v>
      </c>
      <c r="D21" s="1743" t="s">
        <v>1959</v>
      </c>
      <c r="E21" s="3335" t="s">
        <v>3413</v>
      </c>
      <c r="F21" s="3336"/>
      <c r="G21" s="3336"/>
      <c r="H21" s="3336"/>
      <c r="I21" s="3337"/>
      <c r="J21" s="1677"/>
      <c r="K21" s="1757"/>
      <c r="L21" s="1706"/>
      <c r="M21" s="1706"/>
      <c r="N21" s="1677"/>
      <c r="O21" s="1678"/>
      <c r="P21" s="1677"/>
      <c r="Q21" s="1677"/>
      <c r="R21" s="1677"/>
      <c r="S21" s="1677"/>
      <c r="T21" s="1677"/>
      <c r="U21" s="1677"/>
    </row>
    <row r="22" spans="1:21">
      <c r="A22" s="3093" t="s">
        <v>951</v>
      </c>
      <c r="B22" s="1644" t="s">
        <v>1960</v>
      </c>
      <c r="C22" s="1669">
        <f>'数据-汇总表'!D3</f>
        <v>77285.8</v>
      </c>
      <c r="D22" s="1670" t="s">
        <v>1959</v>
      </c>
      <c r="E22" s="3335" t="s">
        <v>3412</v>
      </c>
      <c r="F22" s="3336"/>
      <c r="G22" s="3336"/>
      <c r="H22" s="3336"/>
      <c r="I22" s="3337"/>
      <c r="J22" s="1677"/>
      <c r="K22" s="1757"/>
      <c r="L22" s="1706"/>
      <c r="M22" s="1706"/>
      <c r="N22" s="1677"/>
      <c r="O22" s="1678"/>
      <c r="P22" s="1677"/>
      <c r="Q22" s="1677"/>
      <c r="R22" s="1677"/>
      <c r="S22" s="1677"/>
      <c r="T22" s="1677"/>
      <c r="U22" s="1677"/>
    </row>
    <row r="23" spans="1:21" ht="43.5" thickBot="1">
      <c r="A23" s="1748" t="s">
        <v>1961</v>
      </c>
      <c r="B23" s="1684" t="s">
        <v>1962</v>
      </c>
      <c r="C23" s="1685" t="s">
        <v>3414</v>
      </c>
      <c r="D23" s="1686" t="s">
        <v>1963</v>
      </c>
      <c r="E23" s="1687" t="s">
        <v>3414</v>
      </c>
      <c r="F23" s="1688" t="str">
        <f>IF(AND(C23="是",E23="否"),"是否提供他项权证或相关说明","")</f>
        <v/>
      </c>
      <c r="G23" s="1689" t="s">
        <v>951</v>
      </c>
      <c r="H23" s="1677"/>
      <c r="I23" s="1690"/>
      <c r="J23" s="1677"/>
      <c r="K23" s="1757"/>
      <c r="L23" s="1706"/>
      <c r="M23" s="1706"/>
      <c r="N23" s="1677"/>
      <c r="O23" s="1678"/>
      <c r="P23" s="1677"/>
      <c r="Q23" s="1677"/>
      <c r="R23" s="1677"/>
      <c r="S23" s="1677"/>
      <c r="T23" s="1677"/>
      <c r="U23" s="1677"/>
    </row>
    <row r="24" spans="1:21">
      <c r="A24" s="1733" t="s">
        <v>1964</v>
      </c>
      <c r="B24" s="3338" t="s">
        <v>1965</v>
      </c>
      <c r="C24" s="3339"/>
      <c r="D24" s="3340" t="s">
        <v>1966</v>
      </c>
      <c r="E24" s="3341"/>
      <c r="F24" s="1691" t="s">
        <v>1967</v>
      </c>
      <c r="G24" s="1677"/>
      <c r="H24" s="1677"/>
      <c r="I24" s="1690"/>
      <c r="J24" s="1677"/>
      <c r="K24" s="3326" t="s">
        <v>1968</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c r="C25" s="1692"/>
      <c r="D25" s="1693"/>
      <c r="E25" s="1694" t="s">
        <v>951</v>
      </c>
      <c r="F25" s="1695"/>
      <c r="G25" s="1677"/>
      <c r="H25" s="1677"/>
      <c r="I25" s="1690"/>
      <c r="J25" s="1677"/>
      <c r="K25" s="332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c r="C26" s="1692"/>
      <c r="D26" s="1643"/>
      <c r="E26" s="1643"/>
      <c r="F26" s="1671"/>
      <c r="G26" s="1677"/>
      <c r="H26" s="1677"/>
      <c r="I26" s="1690"/>
      <c r="J26" s="1677"/>
      <c r="K26" s="332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312" t="s">
        <v>1997</v>
      </c>
      <c r="B31" s="1747" t="s">
        <v>1998</v>
      </c>
      <c r="C31" s="3351" t="s">
        <v>3415</v>
      </c>
      <c r="D31" s="3352"/>
      <c r="E31" s="1677"/>
      <c r="F31" s="1677"/>
      <c r="G31" s="1677"/>
      <c r="H31" s="1677"/>
      <c r="I31" s="1690"/>
      <c r="J31" s="1677"/>
      <c r="K31" s="2421"/>
      <c r="L31" s="1677"/>
      <c r="M31" s="1677"/>
      <c r="N31" s="1677"/>
      <c r="O31" s="1677"/>
      <c r="P31" s="1677"/>
      <c r="Q31" s="1677"/>
      <c r="R31" s="1677"/>
      <c r="S31" s="1677"/>
      <c r="T31" s="1677"/>
      <c r="U31" s="1677"/>
    </row>
    <row r="32" spans="1:21">
      <c r="A32" s="3312"/>
      <c r="B32" s="1644" t="s">
        <v>1999</v>
      </c>
      <c r="C32" s="1702" t="s">
        <v>3416</v>
      </c>
      <c r="D32" s="1703"/>
      <c r="E32" s="1677"/>
      <c r="F32" s="1677"/>
      <c r="G32" s="1677"/>
      <c r="H32" s="1677"/>
      <c r="I32" s="1690"/>
      <c r="J32" s="1677"/>
      <c r="K32" s="2421"/>
      <c r="L32" s="1677"/>
      <c r="M32" s="1677"/>
      <c r="N32" s="1677"/>
      <c r="O32" s="1677"/>
      <c r="P32" s="1677"/>
      <c r="Q32" s="1677"/>
      <c r="R32" s="1677"/>
      <c r="S32" s="1677"/>
      <c r="T32" s="1677"/>
      <c r="U32" s="1677"/>
    </row>
    <row r="33" spans="1:21">
      <c r="A33" s="3312"/>
      <c r="B33" s="1644" t="s">
        <v>2000</v>
      </c>
      <c r="C33" s="1704" t="s">
        <v>3414</v>
      </c>
      <c r="D33" s="1821"/>
      <c r="E33" s="1677"/>
      <c r="F33" s="1677"/>
      <c r="G33" s="1677"/>
      <c r="H33" s="1677"/>
      <c r="I33" s="1690"/>
      <c r="J33" s="1677"/>
      <c r="K33" s="2421"/>
      <c r="L33" s="1677"/>
      <c r="M33" s="1677"/>
      <c r="N33" s="1677"/>
      <c r="O33" s="1677"/>
      <c r="P33" s="1677"/>
      <c r="Q33" s="1677"/>
      <c r="R33" s="1677"/>
      <c r="S33" s="1677"/>
      <c r="T33" s="1677"/>
      <c r="U33" s="1677"/>
    </row>
    <row r="34" spans="1:21">
      <c r="A34" s="3313"/>
      <c r="B34" s="1644" t="s">
        <v>2001</v>
      </c>
      <c r="C34" s="3314"/>
      <c r="D34" s="3315"/>
      <c r="E34" s="1677"/>
      <c r="F34" s="1677"/>
      <c r="G34" s="1677"/>
      <c r="H34" s="1677"/>
      <c r="I34" s="1690"/>
      <c r="J34" s="1677"/>
      <c r="K34" s="2421"/>
      <c r="L34" s="1677"/>
      <c r="M34" s="1677"/>
      <c r="N34" s="1677"/>
      <c r="O34" s="1677"/>
      <c r="P34" s="1677"/>
      <c r="Q34" s="1677"/>
      <c r="R34" s="1677"/>
      <c r="S34" s="1677"/>
      <c r="T34" s="1677"/>
      <c r="U34" s="1677"/>
    </row>
    <row r="35" spans="1:21">
      <c r="A35" s="3316" t="s">
        <v>846</v>
      </c>
      <c r="B35" s="1705" t="s">
        <v>3417</v>
      </c>
      <c r="C35" s="1759" t="str">
        <f>IF(B35="场地平整","——","具体情况：")</f>
        <v>具体情况：</v>
      </c>
      <c r="D35" s="3318"/>
      <c r="E35" s="3319"/>
      <c r="F35" s="3319"/>
      <c r="G35" s="3319"/>
      <c r="H35" s="3319"/>
      <c r="I35" s="3320"/>
      <c r="J35" s="1677"/>
      <c r="K35" s="1758"/>
      <c r="L35" s="1706"/>
      <c r="M35" s="1706"/>
      <c r="N35" s="1677"/>
      <c r="O35" s="1678"/>
      <c r="P35" s="1677"/>
      <c r="Q35" s="1677"/>
      <c r="R35" s="1677"/>
      <c r="S35" s="1677"/>
      <c r="T35" s="1677"/>
      <c r="U35" s="1677"/>
    </row>
    <row r="36" spans="1:21" ht="28.5">
      <c r="A36" s="3312"/>
      <c r="B36" s="3321" t="s">
        <v>2050</v>
      </c>
      <c r="C36" s="3322"/>
      <c r="D36" s="1775" t="s">
        <v>3418</v>
      </c>
      <c r="E36" s="3323"/>
      <c r="F36" s="3323"/>
      <c r="G36" s="1670" t="str">
        <f>IF(B35="场地未平整","估价结果处理","")</f>
        <v>估价结果处理</v>
      </c>
      <c r="H36" s="3324"/>
      <c r="I36" s="3324"/>
      <c r="J36" s="1677"/>
      <c r="K36" s="1758"/>
      <c r="L36" s="1706"/>
      <c r="M36" s="1706"/>
      <c r="N36" s="1677"/>
      <c r="O36" s="1678"/>
      <c r="P36" s="1677"/>
      <c r="Q36" s="1677"/>
      <c r="R36" s="1677"/>
      <c r="S36" s="1677"/>
      <c r="T36" s="1677"/>
      <c r="U36" s="1677"/>
    </row>
    <row r="37" spans="1:21" ht="28.5">
      <c r="A37" s="3312"/>
      <c r="B37" s="3342"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312"/>
      <c r="B38" s="3343"/>
      <c r="C38" s="1652" t="s">
        <v>849</v>
      </c>
      <c r="D38" s="1774">
        <f>ROUNDDOWN(MIN(('数据-取费表'!$B$2-D37)/365,D34),1)</f>
        <v>119.5</v>
      </c>
      <c r="E38" s="1710" t="s">
        <v>850</v>
      </c>
      <c r="F38" s="1677"/>
      <c r="G38" s="1677"/>
      <c r="H38" s="1677"/>
      <c r="I38" s="1690"/>
      <c r="J38" s="1677"/>
      <c r="K38" s="1758"/>
      <c r="L38" s="1677"/>
      <c r="M38" s="1677"/>
      <c r="N38" s="1677"/>
      <c r="O38" s="1677"/>
      <c r="P38" s="1677"/>
      <c r="Q38" s="1677"/>
      <c r="R38" s="1677"/>
      <c r="S38" s="1677"/>
      <c r="T38" s="1677"/>
      <c r="U38" s="1677"/>
    </row>
    <row r="39" spans="1:21">
      <c r="A39" s="3313"/>
      <c r="B39" s="3344"/>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t="s">
        <v>3419</v>
      </c>
      <c r="C40" s="1673" t="s">
        <v>3420</v>
      </c>
      <c r="D40" s="1673" t="s">
        <v>3421</v>
      </c>
      <c r="E40" s="1673" t="s">
        <v>3422</v>
      </c>
      <c r="F40" s="1673" t="s">
        <v>3423</v>
      </c>
      <c r="G40" s="1673" t="s">
        <v>3424</v>
      </c>
      <c r="H40" s="1673" t="s">
        <v>951</v>
      </c>
      <c r="I40" s="1690"/>
      <c r="J40" s="1677"/>
      <c r="K40" s="1713">
        <f>COUNTIF(B40:H40,"——")</f>
        <v>1</v>
      </c>
      <c r="L40" s="1682" t="s">
        <v>1975</v>
      </c>
      <c r="M40" s="1679" t="s">
        <v>1976</v>
      </c>
      <c r="N40" s="1679" t="s">
        <v>1977</v>
      </c>
      <c r="O40" s="1679" t="s">
        <v>1978</v>
      </c>
      <c r="P40" s="1679" t="s">
        <v>1979</v>
      </c>
      <c r="Q40" s="1679" t="s">
        <v>1980</v>
      </c>
      <c r="R40" s="1679" t="s">
        <v>1981</v>
      </c>
      <c r="S40" s="3325" t="s">
        <v>1982</v>
      </c>
      <c r="T40" s="1714" t="str">
        <f>NUMBERSTRING(7-K40,1)&amp;"通"</f>
        <v>六通</v>
      </c>
      <c r="U40" s="1677"/>
    </row>
    <row r="41" spans="1:21" ht="28.5">
      <c r="A41" s="1646"/>
      <c r="B41" s="3317" t="s">
        <v>1720</v>
      </c>
      <c r="C41" s="3317"/>
      <c r="D41" s="3317"/>
      <c r="E41" s="3317"/>
      <c r="F41" s="1715" t="str">
        <f>C10</f>
        <v>江苏省南京市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325"/>
      <c r="T41" s="1716" t="str">
        <f>IF(T40="一通",L41,IF(T40="二通",M41,IF(T40="三通",N41,IF(T40="四通",O41,IF(T40="五通",P41,IF(T40="六通",Q41,R41))))))</f>
        <v>通路、通电、通讯、通上水、通下水、燃气</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t="s">
        <v>1406</v>
      </c>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t="s">
        <v>3569</v>
      </c>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2327</v>
      </c>
      <c r="BA2" s="2324"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77285.8</v>
      </c>
      <c r="B3" s="22">
        <f>IF(C3="否",G5-AT5,G5)</f>
        <v>240271.90000000002</v>
      </c>
      <c r="C3" s="23" t="s">
        <v>3414</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254228.74000000002</v>
      </c>
      <c r="H5" s="27">
        <f t="shared" ref="H5:AT5" si="0">SUM(H13:H641)</f>
        <v>221508.30000000002</v>
      </c>
      <c r="I5" s="27">
        <f t="shared" si="0"/>
        <v>205670.1</v>
      </c>
      <c r="J5" s="27">
        <f t="shared" si="0"/>
        <v>0</v>
      </c>
      <c r="K5" s="27">
        <f t="shared" si="0"/>
        <v>9818.2000000000007</v>
      </c>
      <c r="L5" s="27">
        <f t="shared" si="0"/>
        <v>0</v>
      </c>
      <c r="M5" s="27">
        <f t="shared" si="0"/>
        <v>6020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18763.599999999999</v>
      </c>
      <c r="AD5" s="27">
        <f t="shared" si="0"/>
        <v>14915.2</v>
      </c>
      <c r="AE5" s="27">
        <f t="shared" si="0"/>
        <v>0</v>
      </c>
      <c r="AF5" s="27">
        <f t="shared" si="0"/>
        <v>0</v>
      </c>
      <c r="AG5" s="27">
        <f t="shared" si="0"/>
        <v>0</v>
      </c>
      <c r="AH5" s="27">
        <f t="shared" si="0"/>
        <v>1368.4</v>
      </c>
      <c r="AI5" s="27">
        <f t="shared" si="0"/>
        <v>0</v>
      </c>
      <c r="AJ5" s="27">
        <f t="shared" si="0"/>
        <v>0</v>
      </c>
      <c r="AK5" s="27">
        <f t="shared" si="0"/>
        <v>0</v>
      </c>
      <c r="AL5" s="27">
        <f t="shared" si="0"/>
        <v>980</v>
      </c>
      <c r="AM5" s="27">
        <f t="shared" si="0"/>
        <v>0</v>
      </c>
      <c r="AN5" s="27">
        <f t="shared" si="0"/>
        <v>1500</v>
      </c>
      <c r="AO5" s="27">
        <f t="shared" si="0"/>
        <v>0</v>
      </c>
      <c r="AP5" s="27">
        <f t="shared" si="0"/>
        <v>0</v>
      </c>
      <c r="AQ5" s="27">
        <f t="shared" si="0"/>
        <v>0</v>
      </c>
      <c r="AR5" s="27">
        <f t="shared" si="0"/>
        <v>0</v>
      </c>
      <c r="AS5" s="27">
        <f t="shared" si="0"/>
        <v>0</v>
      </c>
      <c r="AT5" s="27">
        <f t="shared" si="0"/>
        <v>13956.84</v>
      </c>
      <c r="AU5" s="987"/>
      <c r="AV5" s="26" t="s">
        <v>168</v>
      </c>
      <c r="AW5" s="988"/>
      <c r="AX5" s="988"/>
      <c r="AY5" s="28" t="s">
        <v>3</v>
      </c>
      <c r="AZ5" s="29">
        <f t="shared" ref="AZ5:BT5" si="1">SUM(AZ13:AZ641)</f>
        <v>240271.90000000002</v>
      </c>
      <c r="BA5" s="29">
        <f t="shared" si="1"/>
        <v>221508.30000000002</v>
      </c>
      <c r="BB5" s="29">
        <f t="shared" si="1"/>
        <v>205670.1</v>
      </c>
      <c r="BC5" s="29">
        <f t="shared" si="1"/>
        <v>9818.2000000000007</v>
      </c>
      <c r="BD5" s="29">
        <f t="shared" si="1"/>
        <v>6020</v>
      </c>
      <c r="BE5" s="29">
        <f t="shared" si="1"/>
        <v>0</v>
      </c>
      <c r="BF5" s="29">
        <f t="shared" si="1"/>
        <v>0</v>
      </c>
      <c r="BG5" s="29">
        <f t="shared" si="1"/>
        <v>0</v>
      </c>
      <c r="BH5" s="29">
        <f t="shared" si="1"/>
        <v>0</v>
      </c>
      <c r="BI5" s="29">
        <f t="shared" si="1"/>
        <v>0</v>
      </c>
      <c r="BJ5" s="29">
        <f t="shared" si="1"/>
        <v>0</v>
      </c>
      <c r="BK5" s="29">
        <f t="shared" si="1"/>
        <v>0</v>
      </c>
      <c r="BL5" s="29">
        <f t="shared" si="1"/>
        <v>18763.599999999999</v>
      </c>
      <c r="BM5" s="29">
        <f t="shared" si="1"/>
        <v>14915.2</v>
      </c>
      <c r="BN5" s="29">
        <f t="shared" si="1"/>
        <v>0</v>
      </c>
      <c r="BO5" s="29">
        <f t="shared" si="1"/>
        <v>1368.4</v>
      </c>
      <c r="BP5" s="29">
        <f t="shared" si="1"/>
        <v>0</v>
      </c>
      <c r="BQ5" s="29">
        <f t="shared" si="1"/>
        <v>980</v>
      </c>
      <c r="BR5" s="29">
        <f t="shared" si="1"/>
        <v>1500</v>
      </c>
      <c r="BS5" s="29">
        <f t="shared" si="1"/>
        <v>0</v>
      </c>
      <c r="BT5" s="30">
        <f t="shared" si="1"/>
        <v>0</v>
      </c>
    </row>
    <row r="6" spans="1:72" s="37" customFormat="1" ht="12.75">
      <c r="A6" s="26" t="s">
        <v>169</v>
      </c>
      <c r="B6" s="31"/>
      <c r="C6" s="31"/>
      <c r="D6" s="32"/>
      <c r="E6" s="27">
        <f>H6+AC6+AT6</f>
        <v>77285.799999999988</v>
      </c>
      <c r="F6" s="27" t="s">
        <v>1</v>
      </c>
      <c r="G6" s="27" t="s">
        <v>2</v>
      </c>
      <c r="H6" s="33">
        <f>SUMIF(I$12:AB$12,"总值",I6:AB6)</f>
        <v>71250.299999999988</v>
      </c>
      <c r="I6" s="27">
        <f t="shared" ref="I6:AB6" si="2">ROUND($A$3*I5/$B$3,2)</f>
        <v>66155.789999999994</v>
      </c>
      <c r="J6" s="27">
        <f t="shared" si="2"/>
        <v>0</v>
      </c>
      <c r="K6" s="27">
        <f t="shared" si="2"/>
        <v>3158.12</v>
      </c>
      <c r="L6" s="27">
        <f t="shared" si="2"/>
        <v>0</v>
      </c>
      <c r="M6" s="27">
        <f t="shared" si="2"/>
        <v>1936.39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6035.5</v>
      </c>
      <c r="AD6" s="27">
        <f t="shared" ref="AD6:AS6" si="3">ROUND($A$3*AD5/$B$3,2)</f>
        <v>4797.62</v>
      </c>
      <c r="AE6" s="27">
        <f t="shared" si="3"/>
        <v>0</v>
      </c>
      <c r="AF6" s="27">
        <f t="shared" si="3"/>
        <v>0</v>
      </c>
      <c r="AG6" s="27">
        <f t="shared" si="3"/>
        <v>0</v>
      </c>
      <c r="AH6" s="27">
        <f t="shared" si="3"/>
        <v>440.16</v>
      </c>
      <c r="AI6" s="27">
        <f t="shared" si="3"/>
        <v>0</v>
      </c>
      <c r="AJ6" s="27">
        <f t="shared" si="3"/>
        <v>0</v>
      </c>
      <c r="AK6" s="27">
        <f t="shared" si="3"/>
        <v>0</v>
      </c>
      <c r="AL6" s="27">
        <f t="shared" si="3"/>
        <v>315.23</v>
      </c>
      <c r="AM6" s="27">
        <f t="shared" si="3"/>
        <v>0</v>
      </c>
      <c r="AN6" s="27">
        <f t="shared" si="3"/>
        <v>482.49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77285.8</v>
      </c>
      <c r="AZ6" s="27" t="s">
        <v>3</v>
      </c>
      <c r="BA6" s="27">
        <f>ROUND($AY$6*BA5/$AZ$5,2)</f>
        <v>71250.31</v>
      </c>
      <c r="BB6" s="27">
        <f>ROUND($AY$6*BB5/$AZ$5,2)</f>
        <v>66155.789999999994</v>
      </c>
      <c r="BC6" s="27">
        <f t="shared" ref="BC6:BH6" si="4">ROUND($AY$6*BC5/$AZ$5,2)</f>
        <v>3158.12</v>
      </c>
      <c r="BD6" s="27">
        <f t="shared" si="4"/>
        <v>1936.39</v>
      </c>
      <c r="BE6" s="27">
        <f t="shared" si="4"/>
        <v>0</v>
      </c>
      <c r="BF6" s="27">
        <f t="shared" si="4"/>
        <v>0</v>
      </c>
      <c r="BG6" s="27">
        <f t="shared" si="4"/>
        <v>0</v>
      </c>
      <c r="BH6" s="27">
        <f t="shared" si="4"/>
        <v>0</v>
      </c>
      <c r="BI6" s="27">
        <f t="shared" ref="BI6:BT6" si="5">ROUND($AY$6*BI5/$AZ$5,2)</f>
        <v>0</v>
      </c>
      <c r="BJ6" s="27">
        <f t="shared" si="5"/>
        <v>0</v>
      </c>
      <c r="BK6" s="27">
        <f t="shared" si="5"/>
        <v>0</v>
      </c>
      <c r="BL6" s="27">
        <f t="shared" si="5"/>
        <v>6035.49</v>
      </c>
      <c r="BM6" s="27">
        <f t="shared" si="5"/>
        <v>4797.62</v>
      </c>
      <c r="BN6" s="27">
        <f t="shared" si="5"/>
        <v>0</v>
      </c>
      <c r="BO6" s="27">
        <f t="shared" si="5"/>
        <v>440.16</v>
      </c>
      <c r="BP6" s="27">
        <f t="shared" si="5"/>
        <v>0</v>
      </c>
      <c r="BQ6" s="27">
        <f t="shared" si="5"/>
        <v>315.23</v>
      </c>
      <c r="BR6" s="27">
        <f t="shared" si="5"/>
        <v>482.49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3425</v>
      </c>
      <c r="J9" s="51"/>
      <c r="K9" s="2969" t="s">
        <v>3425</v>
      </c>
      <c r="L9" s="51"/>
      <c r="M9" s="2969" t="s">
        <v>3428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t="s">
        <v>3409</v>
      </c>
      <c r="L10" s="51"/>
      <c r="M10" s="2971" t="s">
        <v>3410</v>
      </c>
      <c r="N10" s="51"/>
      <c r="O10" s="66"/>
      <c r="P10" s="51"/>
      <c r="Q10" s="66"/>
      <c r="R10" s="51"/>
      <c r="S10" s="66"/>
      <c r="T10" s="51"/>
      <c r="U10" s="66"/>
      <c r="V10" s="51"/>
      <c r="W10" s="66"/>
      <c r="X10" s="51"/>
      <c r="Y10" s="66"/>
      <c r="Z10" s="51"/>
      <c r="AA10" s="66"/>
      <c r="AB10" s="51"/>
      <c r="AC10" s="55"/>
      <c r="AD10" s="2298" t="s">
        <v>2313</v>
      </c>
      <c r="AE10" s="2320"/>
      <c r="AF10" s="2298" t="s">
        <v>2313</v>
      </c>
      <c r="AG10" s="2320"/>
      <c r="AH10" s="2298" t="s">
        <v>2314</v>
      </c>
      <c r="AI10" s="2320"/>
      <c r="AJ10" s="26" t="s">
        <v>2325</v>
      </c>
      <c r="AK10" s="2317"/>
      <c r="AL10" s="2298" t="s">
        <v>2315</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3426</v>
      </c>
      <c r="J11" s="71"/>
      <c r="K11" s="2970" t="s">
        <v>3427</v>
      </c>
      <c r="L11" s="71"/>
      <c r="M11" s="70" t="s">
        <v>3410</v>
      </c>
      <c r="N11" s="71"/>
      <c r="O11" s="70"/>
      <c r="P11" s="71"/>
      <c r="Q11" s="70"/>
      <c r="R11" s="71"/>
      <c r="S11" s="70"/>
      <c r="T11" s="71"/>
      <c r="U11" s="70"/>
      <c r="V11" s="71"/>
      <c r="W11" s="70"/>
      <c r="X11" s="71"/>
      <c r="Y11" s="70"/>
      <c r="Z11" s="71"/>
      <c r="AA11" s="70"/>
      <c r="AB11" s="71"/>
      <c r="AC11" s="55"/>
      <c r="AD11" s="2318" t="s">
        <v>2324</v>
      </c>
      <c r="AE11" s="1001"/>
      <c r="AF11" s="2318" t="s">
        <v>2324</v>
      </c>
      <c r="AG11" s="1001"/>
      <c r="AH11" s="2318" t="s">
        <v>2323</v>
      </c>
      <c r="AI11" s="2319"/>
      <c r="AJ11" s="2318" t="s">
        <v>2323</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77285.8</v>
      </c>
      <c r="F13" s="81"/>
      <c r="G13" s="82">
        <f t="shared" ref="G13:G20" si="7">H13+AC13+AT13</f>
        <v>254228.74000000002</v>
      </c>
      <c r="H13" s="33">
        <f t="shared" ref="H13:H20" si="8">SUMIF(I$12:AB$12,"总值",I13:AB13)</f>
        <v>221508.30000000002</v>
      </c>
      <c r="I13" s="2968">
        <v>205670.1</v>
      </c>
      <c r="J13" s="2968"/>
      <c r="K13" s="2968">
        <v>9818.2000000000007</v>
      </c>
      <c r="L13" s="2968"/>
      <c r="M13" s="3276">
        <v>6020</v>
      </c>
      <c r="N13" s="83"/>
      <c r="O13" s="83"/>
      <c r="P13" s="83"/>
      <c r="Q13" s="83"/>
      <c r="R13" s="83"/>
      <c r="S13" s="83"/>
      <c r="T13" s="83"/>
      <c r="U13" s="83"/>
      <c r="V13" s="83"/>
      <c r="W13" s="83"/>
      <c r="X13" s="83"/>
      <c r="Y13" s="83"/>
      <c r="Z13" s="83"/>
      <c r="AA13" s="83"/>
      <c r="AB13" s="83"/>
      <c r="AC13" s="27">
        <f t="shared" ref="AC13:AC20" si="9">SUMIF(AD$12:AS$12,"总值",AD13:AS13)</f>
        <v>18763.599999999999</v>
      </c>
      <c r="AD13" s="2972">
        <f>2950+3200+8765.2</f>
        <v>14915.2</v>
      </c>
      <c r="AE13" s="2972"/>
      <c r="AF13" s="2972"/>
      <c r="AG13" s="2972"/>
      <c r="AH13" s="2972">
        <v>1368.4</v>
      </c>
      <c r="AI13" s="2972"/>
      <c r="AJ13" s="2972"/>
      <c r="AK13" s="2972"/>
      <c r="AL13" s="2972">
        <v>980</v>
      </c>
      <c r="AM13" s="2972"/>
      <c r="AN13" s="2972">
        <v>1500</v>
      </c>
      <c r="AO13" s="2972"/>
      <c r="AP13" s="2972"/>
      <c r="AQ13" s="2972"/>
      <c r="AR13" s="2972"/>
      <c r="AS13" s="2972"/>
      <c r="AT13" s="2973">
        <v>13956.84</v>
      </c>
      <c r="AU13" s="2974"/>
      <c r="AV13" s="17">
        <f t="shared" ref="AV13:AX20" si="10">A13</f>
        <v>0</v>
      </c>
      <c r="AW13" s="17">
        <f t="shared" si="10"/>
        <v>0</v>
      </c>
      <c r="AX13" s="17">
        <f t="shared" si="10"/>
        <v>0</v>
      </c>
      <c r="AY13" s="995">
        <f t="shared" ref="AY13:AY20" si="11">ROUND($AY$6*AZ13/$AZ$5,2)</f>
        <v>77285.8</v>
      </c>
      <c r="AZ13" s="27">
        <f t="shared" ref="AZ13:AZ20" si="12">BA13+BL13</f>
        <v>240271.90000000002</v>
      </c>
      <c r="BA13" s="27">
        <f t="shared" ref="BA13:BA20" si="13">SUM(BB13:BK13)</f>
        <v>221508.30000000002</v>
      </c>
      <c r="BB13" s="27">
        <f t="shared" ref="BB13:BB20" si="14">IF($D13="是",I13-J13,0)</f>
        <v>205670.1</v>
      </c>
      <c r="BC13" s="27">
        <f t="shared" ref="BC13:BC20" si="15">IF($D13="是",K13-L13,0)</f>
        <v>9818.2000000000007</v>
      </c>
      <c r="BD13" s="27">
        <f t="shared" ref="BD13:BD20" si="16">IF($D13="是",M13-N13,0)</f>
        <v>6020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18763.599999999999</v>
      </c>
      <c r="BM13" s="27">
        <f t="shared" ref="BM13:BM20" si="25">IF($D13="是",AD13-AE13,0)</f>
        <v>14915.2</v>
      </c>
      <c r="BN13" s="27">
        <f t="shared" ref="BN13:BN20" si="26">IF($D13="是",AF13-AG13,0)</f>
        <v>0</v>
      </c>
      <c r="BO13" s="27">
        <f t="shared" ref="BO13:BO20" si="27">IF($D13="是",AH13-AI13,0)</f>
        <v>1368.4</v>
      </c>
      <c r="BP13" s="27">
        <f t="shared" ref="BP13:BP20" si="28">IF($D13="是",AJ13-AK13,0)</f>
        <v>0</v>
      </c>
      <c r="BQ13" s="27">
        <f t="shared" ref="BQ13:BQ20" si="29">IF($D13="是",AL13-AM13,0)</f>
        <v>980</v>
      </c>
      <c r="BR13" s="27">
        <f t="shared" ref="BR13:BR20" si="30">IF($D13="是",AN13-AO13,0)</f>
        <v>1500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3" t="s">
        <v>0</v>
      </c>
      <c r="B1" s="3353" t="s">
        <v>4</v>
      </c>
      <c r="C1" s="3353" t="s">
        <v>5</v>
      </c>
      <c r="D1" s="3354" t="s">
        <v>40</v>
      </c>
      <c r="E1" s="3354" t="s">
        <v>41</v>
      </c>
      <c r="F1" s="3354"/>
      <c r="G1" s="3354"/>
      <c r="H1" s="3354"/>
      <c r="I1" s="3354"/>
      <c r="J1" s="3354"/>
      <c r="K1" s="3354"/>
      <c r="L1" s="3354"/>
      <c r="M1" s="3354"/>
    </row>
    <row r="2" spans="1:13" ht="27" customHeight="1">
      <c r="A2" s="3353"/>
      <c r="B2" s="3353"/>
      <c r="C2" s="3353"/>
      <c r="D2" s="3354"/>
      <c r="E2" s="3354" t="s">
        <v>24</v>
      </c>
      <c r="F2" s="3354" t="s">
        <v>25</v>
      </c>
      <c r="G2" s="3354"/>
      <c r="H2" s="3354"/>
      <c r="I2" s="3354"/>
      <c r="J2" s="3354" t="s">
        <v>26</v>
      </c>
      <c r="K2" s="3354"/>
      <c r="L2" s="3354"/>
      <c r="M2" s="3354"/>
    </row>
    <row r="3" spans="1:13" ht="28.5">
      <c r="A3" s="3353"/>
      <c r="B3" s="3353"/>
      <c r="C3" s="3353"/>
      <c r="D3" s="3354"/>
      <c r="E3" s="33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4" t="s">
        <v>42</v>
      </c>
      <c r="B9" s="3354"/>
      <c r="C9" s="33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G3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64" t="s">
        <v>203</v>
      </c>
      <c r="B2" s="3364"/>
      <c r="C2" s="3364"/>
      <c r="D2" s="1959" t="s">
        <v>204</v>
      </c>
      <c r="E2" s="106" t="s">
        <v>205</v>
      </c>
      <c r="F2" s="1968"/>
      <c r="G2" s="1193"/>
      <c r="H2" s="1194"/>
      <c r="I2" s="1195" t="s">
        <v>856</v>
      </c>
      <c r="J2" s="1968"/>
      <c r="K2" s="1968"/>
      <c r="L2" s="1968"/>
    </row>
    <row r="3" spans="1:16" ht="15.75" thickBot="1">
      <c r="A3" s="3365" t="s">
        <v>206</v>
      </c>
      <c r="B3" s="3365"/>
      <c r="C3" s="3365"/>
      <c r="D3" s="107">
        <f>'数据-基础表'!AY6</f>
        <v>77285.8</v>
      </c>
      <c r="E3" s="107">
        <f>'数据-基础表'!AZ5</f>
        <v>240271.90000000002</v>
      </c>
      <c r="F3" s="1968"/>
      <c r="G3" s="280" t="s">
        <v>857</v>
      </c>
      <c r="H3" s="275" t="s">
        <v>858</v>
      </c>
      <c r="I3" s="1960">
        <f>ROUND('数据-基础表'!B3/'数据-基础表'!A3,2)</f>
        <v>3.11</v>
      </c>
      <c r="J3" s="1968"/>
      <c r="K3" s="1968"/>
      <c r="L3" s="1968"/>
    </row>
    <row r="4" spans="1:16" ht="15">
      <c r="A4" s="3366"/>
      <c r="B4" s="3367"/>
      <c r="C4" s="3368"/>
      <c r="D4" s="108" t="s">
        <v>204</v>
      </c>
      <c r="E4" s="109" t="s">
        <v>205</v>
      </c>
      <c r="F4" s="1968"/>
      <c r="G4" s="1196"/>
      <c r="H4" s="275" t="s">
        <v>859</v>
      </c>
      <c r="I4" s="1960">
        <f>ROUND(SUMIF('数据-基础表'!I9:AS9,"地上",'数据-基础表'!I5:AS5)/'数据-基础表'!A3,2)</f>
        <v>3.01</v>
      </c>
      <c r="J4" s="1968"/>
      <c r="K4" s="1968"/>
      <c r="L4" s="1968"/>
    </row>
    <row r="5" spans="1:16">
      <c r="A5" s="110" t="s">
        <v>207</v>
      </c>
      <c r="B5" s="3369" t="s">
        <v>230</v>
      </c>
      <c r="C5" s="3369"/>
      <c r="D5" s="111">
        <f>ROUND($D$3*E5/$E$3,2)</f>
        <v>66155.789999999994</v>
      </c>
      <c r="E5" s="112">
        <f>SUMIF('数据-基础表'!$11:$11,"住宅",'数据-基础表'!$5:$5)</f>
        <v>205670.1</v>
      </c>
      <c r="F5" s="1968"/>
      <c r="G5" s="280" t="s">
        <v>860</v>
      </c>
      <c r="H5" s="275" t="s">
        <v>858</v>
      </c>
      <c r="I5" s="1960">
        <f>ROUND(E31/D31,2)</f>
        <v>3.11</v>
      </c>
      <c r="J5" s="1968"/>
      <c r="K5" s="1968"/>
      <c r="L5" s="1968"/>
    </row>
    <row r="6" spans="1:16" ht="15" thickBot="1">
      <c r="A6" s="113"/>
      <c r="B6" s="3369" t="s">
        <v>208</v>
      </c>
      <c r="C6" s="3369"/>
      <c r="D6" s="111">
        <f>ROUND($D$3*E6/$E$3,2)</f>
        <v>11130.01</v>
      </c>
      <c r="E6" s="112">
        <f>E3-E5</f>
        <v>34601.800000000017</v>
      </c>
      <c r="F6" s="1968"/>
      <c r="G6" s="1196"/>
      <c r="H6" s="275" t="s">
        <v>859</v>
      </c>
      <c r="I6" s="1960">
        <f>ROUND(F31/D31,2)</f>
        <v>3.01</v>
      </c>
      <c r="J6" s="1968"/>
      <c r="K6" s="1968"/>
      <c r="L6" s="1968"/>
    </row>
    <row r="7" spans="1:16" ht="15">
      <c r="A7" s="3361"/>
      <c r="B7" s="3362"/>
      <c r="C7" s="3363"/>
      <c r="D7" s="108" t="s">
        <v>204</v>
      </c>
      <c r="E7" s="114" t="s">
        <v>231</v>
      </c>
      <c r="F7" s="1968"/>
      <c r="G7" s="1151" t="s">
        <v>1644</v>
      </c>
      <c r="H7" s="1152"/>
      <c r="I7" s="1830">
        <v>3</v>
      </c>
      <c r="J7" s="1968"/>
      <c r="K7" s="1968"/>
      <c r="L7" s="1968"/>
    </row>
    <row r="8" spans="1:16">
      <c r="A8" s="110" t="s">
        <v>209</v>
      </c>
      <c r="B8" s="115" t="s">
        <v>210</v>
      </c>
      <c r="C8" s="111" t="s">
        <v>211</v>
      </c>
      <c r="D8" s="111">
        <f t="shared" ref="D8:D15" si="0">ROUND($D$3*E8/$E$3,2)</f>
        <v>69313.91</v>
      </c>
      <c r="E8" s="116">
        <f>SUMIF('数据-基础表'!BB10:BK10,"地上",'数据-基础表'!BB5:BK5)</f>
        <v>215488.30000000002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2321</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2328</v>
      </c>
      <c r="D13" s="111">
        <f t="shared" si="0"/>
        <v>1936.39</v>
      </c>
      <c r="E13" s="116">
        <f>SUMPRODUCT(('数据-基础表'!BB10:BK10="地下")*('数据-基础表'!BB11:BK11="车库")*('数据-基础表'!BB5:BK5))</f>
        <v>6020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71250.3</v>
      </c>
      <c r="E16" s="120">
        <f>SUM(E8:E15)</f>
        <v>221508.30000000002</v>
      </c>
      <c r="F16" s="1968"/>
      <c r="G16" s="1970"/>
      <c r="H16" s="967" t="s">
        <v>219</v>
      </c>
      <c r="I16" s="968"/>
      <c r="J16" s="1968"/>
      <c r="K16" s="3355" t="s">
        <v>2559</v>
      </c>
      <c r="L16" s="3356"/>
      <c r="M16" s="3356"/>
      <c r="N16" s="3356"/>
      <c r="O16" s="3356"/>
      <c r="P16" s="3357"/>
    </row>
    <row r="17" spans="1:19" ht="15">
      <c r="A17" s="121" t="s">
        <v>216</v>
      </c>
      <c r="B17" s="122" t="s">
        <v>217</v>
      </c>
      <c r="C17" s="2282" t="s">
        <v>2309</v>
      </c>
      <c r="D17" s="108" t="s">
        <v>204</v>
      </c>
      <c r="E17" s="124" t="s">
        <v>205</v>
      </c>
      <c r="F17" s="125"/>
      <c r="G17" s="1361"/>
      <c r="H17" s="969" t="s">
        <v>218</v>
      </c>
      <c r="I17" s="970" t="s">
        <v>2308</v>
      </c>
      <c r="J17" s="1968"/>
      <c r="K17" s="3358" t="s">
        <v>2560</v>
      </c>
      <c r="L17" s="3359"/>
      <c r="M17" s="3360"/>
      <c r="N17" s="3358" t="s">
        <v>2561</v>
      </c>
      <c r="O17" s="3359"/>
      <c r="P17" s="3360"/>
      <c r="R17" s="2283" t="s">
        <v>2307</v>
      </c>
      <c r="S17" s="144"/>
    </row>
    <row r="18" spans="1:19" ht="15">
      <c r="A18" s="117"/>
      <c r="B18" s="128"/>
      <c r="C18" s="129"/>
      <c r="D18" s="2605"/>
      <c r="E18" s="130" t="s">
        <v>220</v>
      </c>
      <c r="F18" s="131" t="s">
        <v>221</v>
      </c>
      <c r="G18" s="1362" t="s">
        <v>222</v>
      </c>
      <c r="H18" s="971" t="s">
        <v>223</v>
      </c>
      <c r="I18" s="972" t="s">
        <v>224</v>
      </c>
      <c r="J18" s="1968"/>
      <c r="K18" s="2568" t="s">
        <v>2562</v>
      </c>
      <c r="L18" s="2569" t="s">
        <v>2563</v>
      </c>
      <c r="M18" s="2570" t="s">
        <v>2564</v>
      </c>
      <c r="N18" s="2568" t="s">
        <v>2562</v>
      </c>
      <c r="O18" s="2569" t="s">
        <v>2563</v>
      </c>
      <c r="P18" s="2570" t="s">
        <v>2564</v>
      </c>
      <c r="R18" s="2284" t="s">
        <v>2305</v>
      </c>
      <c r="S18" s="2284" t="s">
        <v>2306</v>
      </c>
    </row>
    <row r="19" spans="1:19">
      <c r="A19" s="133"/>
      <c r="B19" s="115" t="s">
        <v>225</v>
      </c>
      <c r="C19" s="2975" t="s">
        <v>3438</v>
      </c>
      <c r="D19" s="111">
        <f t="shared" ref="D19:D26" si="1">ROUND($D$3*E19/$E$3,2)</f>
        <v>66155.789999999994</v>
      </c>
      <c r="E19" s="134">
        <f t="shared" ref="E19:E26" si="2">SUM(F19:G19)</f>
        <v>205670.1</v>
      </c>
      <c r="F19" s="135">
        <f>'数据-基础表'!I5</f>
        <v>205670.1</v>
      </c>
      <c r="G19" s="1363"/>
      <c r="H19" s="973">
        <f>ROUND($D$3*I19/$E$3,2)</f>
        <v>5978.46</v>
      </c>
      <c r="I19" s="116">
        <f>IF($I$17="自定义",P19,M19)</f>
        <v>18586.28</v>
      </c>
      <c r="J19" s="1968"/>
      <c r="K19" s="2571">
        <f t="shared" ref="K19:K26" si="3">ROUND(E$28*E19/E$27,2)</f>
        <v>2302.6799999999998</v>
      </c>
      <c r="L19" s="275">
        <f t="shared" ref="L19:L26" si="4">ROUND(IF(COUNTIF(C19,"*住宅*")&gt;0,E$29*E19/E$32,0),2)</f>
        <v>16283.6</v>
      </c>
      <c r="M19" s="2572">
        <f>K19+L19</f>
        <v>18586.28</v>
      </c>
      <c r="N19" s="2573"/>
      <c r="O19" s="2574"/>
      <c r="P19" s="2575">
        <f>N19+O19</f>
        <v>0</v>
      </c>
      <c r="R19" s="275">
        <f t="shared" ref="R19:S26" si="5">D19+H19</f>
        <v>72134.25</v>
      </c>
      <c r="S19" s="2285">
        <f t="shared" si="5"/>
        <v>224256.38</v>
      </c>
    </row>
    <row r="20" spans="1:19">
      <c r="A20" s="138"/>
      <c r="B20" s="115" t="s">
        <v>226</v>
      </c>
      <c r="C20" s="2975" t="s">
        <v>3439</v>
      </c>
      <c r="D20" s="111">
        <f t="shared" si="1"/>
        <v>3158.12</v>
      </c>
      <c r="E20" s="134">
        <f t="shared" si="2"/>
        <v>9818.2000000000007</v>
      </c>
      <c r="F20" s="135">
        <f>'数据-基础表'!K5</f>
        <v>9818.2000000000007</v>
      </c>
      <c r="G20" s="1363"/>
      <c r="H20" s="973">
        <f t="shared" ref="H20:H26" si="6">ROUND($D$3*I20/$E$3,2)</f>
        <v>35.36</v>
      </c>
      <c r="I20" s="116">
        <f t="shared" ref="I20:I26" si="7">IF($I$17="自定义",P20,M20)</f>
        <v>109.92</v>
      </c>
      <c r="J20" s="1968"/>
      <c r="K20" s="2571">
        <f t="shared" si="3"/>
        <v>109.92</v>
      </c>
      <c r="L20" s="275">
        <f t="shared" si="4"/>
        <v>0</v>
      </c>
      <c r="M20" s="2572">
        <f t="shared" ref="M20:M26" si="8">K20+L20</f>
        <v>109.92</v>
      </c>
      <c r="N20" s="2573"/>
      <c r="O20" s="2574"/>
      <c r="P20" s="2575">
        <f t="shared" ref="P20:P26" si="9">N20+O20</f>
        <v>0</v>
      </c>
      <c r="R20" s="275">
        <f t="shared" si="5"/>
        <v>3193.48</v>
      </c>
      <c r="S20" s="2285">
        <f t="shared" si="5"/>
        <v>9928.1200000000008</v>
      </c>
    </row>
    <row r="21" spans="1:19">
      <c r="A21" s="138"/>
      <c r="B21" s="115" t="s">
        <v>226</v>
      </c>
      <c r="C21" s="2975" t="s">
        <v>3440</v>
      </c>
      <c r="D21" s="111">
        <f t="shared" si="1"/>
        <v>1936.39</v>
      </c>
      <c r="E21" s="134">
        <f t="shared" si="2"/>
        <v>6020</v>
      </c>
      <c r="F21" s="135"/>
      <c r="G21" s="1363">
        <f>'数据-基础表'!M5</f>
        <v>6020</v>
      </c>
      <c r="H21" s="973">
        <f t="shared" si="6"/>
        <v>21.68</v>
      </c>
      <c r="I21" s="116">
        <f t="shared" si="7"/>
        <v>67.400000000000006</v>
      </c>
      <c r="J21" s="1968"/>
      <c r="K21" s="2571">
        <f t="shared" si="3"/>
        <v>67.400000000000006</v>
      </c>
      <c r="L21" s="275">
        <f t="shared" si="4"/>
        <v>0</v>
      </c>
      <c r="M21" s="2572">
        <f t="shared" si="8"/>
        <v>67.400000000000006</v>
      </c>
      <c r="N21" s="2573"/>
      <c r="O21" s="2574"/>
      <c r="P21" s="2575">
        <f t="shared" si="9"/>
        <v>0</v>
      </c>
      <c r="R21" s="275">
        <f t="shared" si="5"/>
        <v>1958.0700000000002</v>
      </c>
      <c r="S21" s="2285">
        <f t="shared" si="5"/>
        <v>6087.4</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71250.299999999988</v>
      </c>
      <c r="E27" s="143">
        <f>IF(SUM(E19:E26)='数据-基础表'!BA5,SUM(E19:E26),IF(F27="地上面积有误","面积有误","地下面积有误"))</f>
        <v>221508.30000000002</v>
      </c>
      <c r="F27" s="134">
        <f>IF(SUM(F19:F26)=E8,SUM(F19:F26),"地上面积有误")</f>
        <v>215488.30000000002</v>
      </c>
      <c r="G27" s="112">
        <f>SUM(G19:G26)</f>
        <v>6020</v>
      </c>
      <c r="H27" s="974">
        <f>SUM(H19:H26)</f>
        <v>6035.5</v>
      </c>
      <c r="I27" s="975">
        <f>SUM(I19:I26)</f>
        <v>18763.599999999999</v>
      </c>
      <c r="J27" s="1968"/>
      <c r="K27" s="2580">
        <f>SUM(K19:K26)</f>
        <v>2480</v>
      </c>
      <c r="L27" s="2581">
        <f>SUM(L19:L26)</f>
        <v>16283.6</v>
      </c>
      <c r="M27" s="2582">
        <f>SUM(M19:M26)</f>
        <v>18763.599999999999</v>
      </c>
      <c r="N27" s="2580">
        <f t="shared" ref="N27:O27" si="10">SUM(N19:N26)</f>
        <v>0</v>
      </c>
      <c r="O27" s="2581">
        <f t="shared" si="10"/>
        <v>0</v>
      </c>
      <c r="P27" s="2583">
        <f>SUM(P19:P26)</f>
        <v>0</v>
      </c>
      <c r="R27" s="2289">
        <f>IF(SUM(R19:R26)=$D$3,SUM(R19:R26),SUM(R19:R26)&amp;"误差"&amp;ROUND(SUM(R19:R26)-$D$3,2))</f>
        <v>77285.8</v>
      </c>
      <c r="S27" s="275">
        <f>IF(SUM(S19:S26)=$E$3,SUM(S19:S26),SUM(S19:S26)&amp;"误差"&amp;ROUND(SUM(S19:S26)-E3,2))</f>
        <v>240271.9</v>
      </c>
    </row>
    <row r="28" spans="1:19">
      <c r="A28" s="138"/>
      <c r="B28" s="115" t="s">
        <v>227</v>
      </c>
      <c r="C28" s="136" t="s">
        <v>228</v>
      </c>
      <c r="D28" s="111">
        <f>ROUND($D$3*E28/$E$3,2)</f>
        <v>797.72</v>
      </c>
      <c r="E28" s="134">
        <f>SUM(F28:G28)</f>
        <v>2480</v>
      </c>
      <c r="F28" s="144">
        <f>'数据-基础表'!BQ5+'数据-基础表'!BS5</f>
        <v>980</v>
      </c>
      <c r="G28" s="145">
        <f>'数据-基础表'!BR5+'数据-基础表'!BT5</f>
        <v>1500</v>
      </c>
      <c r="H28" s="1968"/>
      <c r="I28" s="1968"/>
      <c r="J28" s="1968"/>
      <c r="K28" s="1968"/>
      <c r="L28" s="1968"/>
    </row>
    <row r="29" spans="1:19">
      <c r="A29" s="138"/>
      <c r="B29" s="115" t="s">
        <v>227</v>
      </c>
      <c r="C29" s="2297" t="s">
        <v>2316</v>
      </c>
      <c r="D29" s="111">
        <f>ROUND($D$3*E29/$E$3,2)</f>
        <v>5237.78</v>
      </c>
      <c r="E29" s="134">
        <f>SUM(F29:G29)</f>
        <v>16283.6</v>
      </c>
      <c r="F29" s="144">
        <f>'数据-基础表'!BM5+'数据-基础表'!BO5</f>
        <v>16283.6</v>
      </c>
      <c r="G29" s="146">
        <f>'数据-基础表'!BN5+'数据-基础表'!BP5</f>
        <v>0</v>
      </c>
      <c r="H29" s="1968"/>
      <c r="I29" s="1968"/>
      <c r="J29" s="1968"/>
      <c r="K29" s="1968"/>
      <c r="L29" s="1968"/>
    </row>
    <row r="30" spans="1:19">
      <c r="A30" s="138"/>
      <c r="B30" s="111"/>
      <c r="C30" s="147" t="s">
        <v>215</v>
      </c>
      <c r="D30" s="134">
        <f>SUM(D28:D29)</f>
        <v>6035.5</v>
      </c>
      <c r="E30" s="134">
        <f>SUM(E28:E29)</f>
        <v>18763.599999999999</v>
      </c>
      <c r="F30" s="134">
        <f>SUM(F28:F29)</f>
        <v>17263.599999999999</v>
      </c>
      <c r="G30" s="112">
        <f>SUM(G28:G29)</f>
        <v>1500</v>
      </c>
      <c r="H30" s="1968"/>
      <c r="I30" s="1968"/>
      <c r="J30" s="1968"/>
      <c r="K30" s="1968"/>
      <c r="L30" s="1968"/>
    </row>
    <row r="31" spans="1:19" ht="32.25" customHeight="1" thickBot="1">
      <c r="A31" s="1365"/>
      <c r="B31" s="1366" t="s">
        <v>229</v>
      </c>
      <c r="C31" s="2314" t="s">
        <v>2318</v>
      </c>
      <c r="D31" s="1367">
        <f>D27+D30</f>
        <v>77285.799999999988</v>
      </c>
      <c r="E31" s="1367">
        <f>E27+E30</f>
        <v>240271.90000000002</v>
      </c>
      <c r="F31" s="1368">
        <f>F27+F30</f>
        <v>232751.90000000002</v>
      </c>
      <c r="G31" s="1369">
        <f>G27+G30</f>
        <v>7520</v>
      </c>
      <c r="H31" s="1968"/>
      <c r="I31" s="1968"/>
      <c r="J31" s="1968"/>
      <c r="K31" s="1968"/>
      <c r="L31" s="1968"/>
    </row>
    <row r="32" spans="1:19">
      <c r="A32" s="1968"/>
      <c r="B32" s="2326" t="s">
        <v>2317</v>
      </c>
      <c r="C32" s="2610"/>
      <c r="D32" s="1196"/>
      <c r="E32" s="1196">
        <f>SUMIF(C19:C26,"*住宅*",E19:E26)</f>
        <v>205670.1</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15" activePane="bottomRight" state="frozen"/>
      <selection pane="topRight" activeCell="D1" sqref="D1"/>
      <selection pane="bottomLeft" activeCell="A4" sqref="A4"/>
      <selection pane="bottomRight" activeCell="R34" sqref="R3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87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43629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4" t="s">
        <v>2565</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2319</v>
      </c>
      <c r="AI5" s="171" t="s">
        <v>2288</v>
      </c>
      <c r="AJ5" s="171" t="s">
        <v>258</v>
      </c>
      <c r="AK5" s="159" t="s">
        <v>259</v>
      </c>
      <c r="AL5" s="159" t="s">
        <v>260</v>
      </c>
      <c r="AM5" s="172" t="s">
        <v>261</v>
      </c>
      <c r="AN5" s="2354" t="s">
        <v>2367</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66452</v>
      </c>
      <c r="F6" s="174">
        <f>SUMIF(项目基本情况!D$15:I$15,C6,项目基本情况!D$19:I$19)</f>
        <v>62.52</v>
      </c>
      <c r="G6" s="175">
        <f>IF(ISERROR(ROUND(POWER(1+H6,D6-F6)*(POWER(1+H6,F6)-1)/(POWER(1+H6,D6)-1),3)),0,ROUND(POWER(1+H6,D6-F6)*(POWER(1+H6,F6)-1)/(POWER(1+H6,D6)-1),3))</f>
        <v>0.97699999999999998</v>
      </c>
      <c r="H6" s="2976">
        <v>0.04</v>
      </c>
      <c r="I6" s="2976">
        <v>4.4999999999999998E-2</v>
      </c>
      <c r="J6" s="176"/>
      <c r="K6" s="179">
        <f>SUMIF('数据-汇总表'!C$19:C$33,'数据-取费表'!A6,'数据-汇总表'!E$19:E$33)</f>
        <v>205670.1</v>
      </c>
      <c r="L6" s="2977">
        <v>2500</v>
      </c>
      <c r="M6" s="177">
        <f t="shared" ref="M6:M14" si="0">ROUND(K6*L6/10000,0)</f>
        <v>51418</v>
      </c>
      <c r="N6" s="2978">
        <v>0</v>
      </c>
      <c r="O6" s="177">
        <f>IF($N$5="成新度","——",ROUND(M6*N6,0))</f>
        <v>0</v>
      </c>
      <c r="P6" s="178">
        <f>IF($N$5="成新度","——",M6-O6)</f>
        <v>51418</v>
      </c>
      <c r="Q6" s="2979">
        <v>0.12</v>
      </c>
      <c r="R6" s="179">
        <f>SUMIF('数据-汇总表'!C$19:C$33,A6,'数据-汇总表'!R$19:R$33)</f>
        <v>72134.25</v>
      </c>
      <c r="S6" s="132">
        <f>IF('数据-汇总表'!$I$17="按面积比例",SUMIF('数据-汇总表'!C$19:C$33,A6,'数据-汇总表'!K$19:K$33),SUMIF('数据-汇总表'!C$19:C$33,A6,'数据-汇总表'!N$19:N$33))</f>
        <v>2302.6799999999998</v>
      </c>
      <c r="T6" s="2218">
        <f>IF($T$4="按面积比例",IF(ISERROR(ROUND($M$14*S6/S$16,0)),"0",ROUND($M$14*S6/S$16,0)),"需自行计算录入")</f>
        <v>576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0.91400000000000003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v>
      </c>
      <c r="B7" s="2321" t="str">
        <f t="shared" ref="B7:B13" si="1">IF(A7=0,"","经营性")</f>
        <v>经营性</v>
      </c>
      <c r="C7" s="173" t="s">
        <v>3409</v>
      </c>
      <c r="D7" s="2292">
        <f>SUMIF(项目基本情况!D$15:I$15,C7,项目基本情况!D$18:I$18)</f>
        <v>40</v>
      </c>
      <c r="E7" s="2293">
        <f>IF(B7="","",SUMIF(项目基本情况!D$15:I$15,C7,项目基本情况!D$17:I$17))</f>
        <v>55494</v>
      </c>
      <c r="F7" s="174">
        <f>SUMIF(项目基本情况!D$15:I$15,C7,项目基本情况!D$19:I$19)</f>
        <v>32.5</v>
      </c>
      <c r="G7" s="175">
        <f t="shared" ref="G7:G11" si="2">IF(ISERROR(ROUND(POWER(1+H7,D7-F7)*(POWER(1+H7,F7)-1)/(POWER(1+H7,D7)-1),3)),0,ROUND(POWER(1+H7,D7-F7)*(POWER(1+H7,F7)-1)/(POWER(1+H7,D7)-1),3))</f>
        <v>0.93400000000000005</v>
      </c>
      <c r="H7" s="2976">
        <v>5.5E-2</v>
      </c>
      <c r="I7" s="2976">
        <v>0.06</v>
      </c>
      <c r="J7" s="176"/>
      <c r="K7" s="179">
        <f>SUMIF('数据-汇总表'!C$19:C$33,'数据-取费表'!A7,'数据-汇总表'!E$19:E$33)</f>
        <v>9818.2000000000007</v>
      </c>
      <c r="L7" s="2977">
        <f>L6</f>
        <v>2500</v>
      </c>
      <c r="M7" s="177">
        <f t="shared" si="0"/>
        <v>2455</v>
      </c>
      <c r="N7" s="2978">
        <f>N6</f>
        <v>0</v>
      </c>
      <c r="O7" s="177">
        <f t="shared" ref="O7:O14" si="3">IF($N$5="成新度","——",ROUND(M7*N7,0))</f>
        <v>0</v>
      </c>
      <c r="P7" s="178">
        <f t="shared" ref="P7:P14" si="4">IF($N$5="成新度","——",M7-O7)</f>
        <v>2455</v>
      </c>
      <c r="Q7" s="2979">
        <v>0.15</v>
      </c>
      <c r="R7" s="179">
        <f>SUMIF('数据-汇总表'!C$19:C$33,A7,'数据-汇总表'!R$19:R$33)</f>
        <v>3193.48</v>
      </c>
      <c r="S7" s="132">
        <f>IF('数据-汇总表'!$I$17="按面积比例",SUMIF('数据-汇总表'!C$19:C$33,A7,'数据-汇总表'!K$19:K$33),SUMIF('数据-汇总表'!C$19:C$33,A7,'数据-汇总表'!N$19:N$33))</f>
        <v>109.92</v>
      </c>
      <c r="T7" s="2218">
        <f t="shared" ref="T7:T13" si="5">IF($T$4="按面积比例",IF(ISERROR(ROUND($M$14*S7/S$16,0)),"0",ROUND($M$14*S7/S$16,0)),"需自行计算录入")</f>
        <v>27</v>
      </c>
      <c r="U7" s="180">
        <v>5.5</v>
      </c>
      <c r="V7" s="181">
        <v>3.5000000000000003E-2</v>
      </c>
      <c r="W7" s="181">
        <v>0.08</v>
      </c>
      <c r="X7" s="2305"/>
      <c r="Y7" s="182">
        <v>1</v>
      </c>
      <c r="Z7" s="183"/>
      <c r="AA7" s="176"/>
      <c r="AB7" s="176"/>
      <c r="AC7" s="2308"/>
      <c r="AD7" s="184"/>
      <c r="AE7" s="971">
        <f t="shared" ref="AE7:AE13" ca="1" si="6">IF(AN7="",0,SUMIF(INDIRECT("'"&amp;AN7&amp;"'"&amp;"!E:E"),$AE$5,INDIRECT("'"&amp;AN7&amp;"'"&amp;"!F:F")))</f>
        <v>30.5</v>
      </c>
      <c r="AF7" s="141"/>
      <c r="AG7" s="1208">
        <f t="shared" ref="AG7:AG13" si="7">IF(AF7="",0,AE7-AF7)</f>
        <v>0</v>
      </c>
      <c r="AH7" s="141"/>
      <c r="AI7" s="187">
        <v>365</v>
      </c>
      <c r="AJ7" s="188"/>
      <c r="AK7" s="189">
        <v>5.0000000000000001E-3</v>
      </c>
      <c r="AL7" s="190">
        <v>1E-3</v>
      </c>
      <c r="AM7" s="2353">
        <f>AK7</f>
        <v>5.0000000000000001E-3</v>
      </c>
      <c r="AN7" s="2355" t="s">
        <v>3456</v>
      </c>
      <c r="AO7" s="1984"/>
      <c r="AP7" s="1199">
        <f t="shared" ref="AP7:AP13" si="8">ROUND(1-1/(1+H7)^F7,3)</f>
        <v>0.82399999999999995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v>
      </c>
      <c r="B8" s="2321" t="str">
        <f t="shared" si="1"/>
        <v>经营性</v>
      </c>
      <c r="C8" s="173" t="s">
        <v>3410</v>
      </c>
      <c r="D8" s="2292">
        <f>SUMIF(项目基本情况!D$15:I$15,C8,项目基本情况!D$18:I$18)</f>
        <v>50</v>
      </c>
      <c r="E8" s="2293">
        <f>IF(B8="","",SUMIF(项目基本情况!D$15:I$15,C8,项目基本情况!D$17:I$17))</f>
        <v>59147</v>
      </c>
      <c r="F8" s="174">
        <f>SUMIF(项目基本情况!D$15:I$15,C8,项目基本情况!D$19:I$19)</f>
        <v>42.51</v>
      </c>
      <c r="G8" s="175">
        <f t="shared" si="2"/>
        <v>0.95099999999999996</v>
      </c>
      <c r="H8" s="2976">
        <v>4.4999999999999998E-2</v>
      </c>
      <c r="I8" s="2976">
        <v>0.05</v>
      </c>
      <c r="J8" s="176"/>
      <c r="K8" s="179">
        <f>SUMIF('数据-汇总表'!C$19:C$33,'数据-取费表'!A8,'数据-汇总表'!E$19:E$33)</f>
        <v>6020</v>
      </c>
      <c r="L8" s="2977">
        <f>L7</f>
        <v>2500</v>
      </c>
      <c r="M8" s="177">
        <f>ROUND(K8*L8/10000,0)</f>
        <v>1505</v>
      </c>
      <c r="N8" s="2978">
        <f>N6</f>
        <v>0</v>
      </c>
      <c r="O8" s="177">
        <f t="shared" si="3"/>
        <v>0</v>
      </c>
      <c r="P8" s="178">
        <f t="shared" si="4"/>
        <v>1505</v>
      </c>
      <c r="Q8" s="2979">
        <v>0.05</v>
      </c>
      <c r="R8" s="179">
        <f>SUMIF('数据-汇总表'!C$19:C$33,A8,'数据-汇总表'!R$19:R$33)</f>
        <v>1958.0700000000002</v>
      </c>
      <c r="S8" s="132">
        <f>IF('数据-汇总表'!$I$17="按面积比例",SUMIF('数据-汇总表'!C$19:C$33,A8,'数据-汇总表'!K$19:K$33),SUMIF('数据-汇总表'!C$19:C$33,A8,'数据-汇总表'!N$19:N$33))</f>
        <v>67.400000000000006</v>
      </c>
      <c r="T8" s="2218">
        <f t="shared" si="5"/>
        <v>17</v>
      </c>
      <c r="U8" s="180"/>
      <c r="V8" s="181"/>
      <c r="W8" s="181"/>
      <c r="X8" s="2305"/>
      <c r="Y8" s="182"/>
      <c r="Z8" s="183"/>
      <c r="AA8" s="176"/>
      <c r="AB8" s="176"/>
      <c r="AC8" s="2308"/>
      <c r="AD8" s="184"/>
      <c r="AE8" s="971">
        <f t="shared" ca="1" si="6"/>
        <v>0</v>
      </c>
      <c r="AF8" s="141"/>
      <c r="AG8" s="1208">
        <f t="shared" si="7"/>
        <v>0</v>
      </c>
      <c r="AH8" s="141">
        <f>AH25</f>
        <v>670</v>
      </c>
      <c r="AI8" s="187"/>
      <c r="AJ8" s="188"/>
      <c r="AK8" s="189"/>
      <c r="AL8" s="190"/>
      <c r="AM8" s="2353"/>
      <c r="AN8" s="2355"/>
      <c r="AO8" s="1984"/>
      <c r="AP8" s="1199">
        <f t="shared" si="8"/>
        <v>0.84599999999999997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2310</v>
      </c>
      <c r="B14" s="2290" t="s">
        <v>1678</v>
      </c>
      <c r="C14" s="2291" t="s">
        <v>2310</v>
      </c>
      <c r="D14" s="2292"/>
      <c r="E14" s="2293"/>
      <c r="F14" s="174"/>
      <c r="G14" s="175"/>
      <c r="H14" s="2294"/>
      <c r="I14" s="2294"/>
      <c r="J14" s="2294"/>
      <c r="K14" s="179">
        <f>SUMIF('数据-汇总表'!C$19:C$33,'数据-取费表'!A14,'数据-汇总表'!E$19:E$33)</f>
        <v>2480</v>
      </c>
      <c r="L14" s="193">
        <f>L6</f>
        <v>2500</v>
      </c>
      <c r="M14" s="177">
        <f t="shared" si="0"/>
        <v>620</v>
      </c>
      <c r="N14" s="194">
        <f>N6</f>
        <v>0</v>
      </c>
      <c r="O14" s="177">
        <f t="shared" si="3"/>
        <v>0</v>
      </c>
      <c r="P14" s="178">
        <f t="shared" si="4"/>
        <v>620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2312</v>
      </c>
      <c r="B15" s="2290" t="s">
        <v>1678</v>
      </c>
      <c r="C15" s="2291" t="s">
        <v>2311</v>
      </c>
      <c r="D15" s="2292"/>
      <c r="E15" s="2293"/>
      <c r="F15" s="174"/>
      <c r="G15" s="175"/>
      <c r="H15" s="2294"/>
      <c r="I15" s="2294"/>
      <c r="J15" s="2294"/>
      <c r="K15" s="179">
        <f>SUMIF('数据-汇总表'!C$19:C$33,'数据-取费表'!A15,'数据-汇总表'!E$19:E$33)</f>
        <v>16283.6</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0.97399999999999998</v>
      </c>
      <c r="H16" s="203">
        <f>ROUND(SUMPRODUCT(H6:H13,K6:K13)/SUMPRODUCT((H6:H13&gt;0)*(K6:K13)),3)</f>
        <v>4.1000000000000002E-2</v>
      </c>
      <c r="I16" s="204"/>
      <c r="J16" s="204"/>
      <c r="K16" s="205">
        <f>SUM(K6:K15)</f>
        <v>240271.90000000002</v>
      </c>
      <c r="L16" s="206">
        <f>ROUND(M16*10000/SUM(K6:K14),0)</f>
        <v>2500</v>
      </c>
      <c r="M16" s="206">
        <f>SUM(M6:M14)</f>
        <v>55998</v>
      </c>
      <c r="N16" s="207">
        <f>ROUND(SUMPRODUCT(M6:M14,N6:N14)/M16,3)</f>
        <v>0</v>
      </c>
      <c r="O16" s="206">
        <f>SUM(O6:O14)</f>
        <v>0</v>
      </c>
      <c r="P16" s="206">
        <f>SUM(P6:P14)</f>
        <v>55998</v>
      </c>
      <c r="Q16" s="208">
        <f>ROUND(SUMPRODUCT(Q6:Q13,K6:K13)/SUMPRODUCT((Q6:Q13&gt;0)*(K6:K13)),2)</f>
        <v>0.12</v>
      </c>
      <c r="R16" s="2295">
        <f>SUM(R6:R13)</f>
        <v>77285.8</v>
      </c>
      <c r="S16" s="209">
        <f>SUM(S6:S13)</f>
        <v>2480</v>
      </c>
      <c r="T16" s="210">
        <f>IF(SUMIF(T6:T13,"&lt;9E307")=M14,SUMIF(T6:T13,"&lt;9E307"),"有误，请检查")</f>
        <v>620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0.90800000000000003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3184" t="s">
        <v>3429</v>
      </c>
      <c r="AH17" s="1973">
        <v>2475</v>
      </c>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3184" t="s">
        <v>3430</v>
      </c>
      <c r="AH18" s="1973">
        <v>2310</v>
      </c>
      <c r="AI18" s="1973"/>
      <c r="AJ18" s="1973"/>
      <c r="AK18" s="1973"/>
      <c r="AL18" s="1973"/>
      <c r="AM18" s="1973"/>
    </row>
    <row r="19" spans="1:83" ht="14.25">
      <c r="A19" s="217" t="s">
        <v>264</v>
      </c>
      <c r="B19" s="218">
        <v>0</v>
      </c>
      <c r="C19" s="2327" t="s">
        <v>2330</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3184" t="s">
        <v>3431</v>
      </c>
      <c r="AH19" s="1973">
        <v>89</v>
      </c>
      <c r="AI19" s="1973"/>
      <c r="AJ19" s="1973"/>
      <c r="AK19" s="1973"/>
      <c r="AL19" s="1973"/>
      <c r="AM19" s="1973"/>
    </row>
    <row r="20" spans="1:83" ht="14.25">
      <c r="A20" s="219" t="s">
        <v>265</v>
      </c>
      <c r="B20" s="220">
        <v>2</v>
      </c>
      <c r="C20" s="2327" t="s">
        <v>2329</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3184" t="s">
        <v>3432</v>
      </c>
      <c r="AH20" s="1973">
        <v>53</v>
      </c>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3184" t="s">
        <v>3433</v>
      </c>
      <c r="AH21" s="1973">
        <v>23</v>
      </c>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3184" t="s">
        <v>3434</v>
      </c>
      <c r="AH22" s="3185">
        <f>'数据-基础表'!AT13</f>
        <v>13956.84</v>
      </c>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3184" t="s">
        <v>3435</v>
      </c>
      <c r="AH23" s="1973">
        <f>'数据-基础表'!M13</f>
        <v>6020</v>
      </c>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3184" t="s">
        <v>3436</v>
      </c>
      <c r="AH24" s="1974">
        <f>AH23+AH22</f>
        <v>19976.84</v>
      </c>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3184" t="s">
        <v>3437</v>
      </c>
      <c r="AH25" s="1973">
        <f>ROUND(AH23/AH24*AH17,0)-AH20-AH21</f>
        <v>670</v>
      </c>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2332</v>
      </c>
      <c r="B27" s="227">
        <v>150</v>
      </c>
      <c r="C27" s="2330" t="s">
        <v>2336</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2333</v>
      </c>
      <c r="B28" s="229">
        <v>150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2331</v>
      </c>
      <c r="B29" s="232"/>
      <c r="C29" s="1538" t="s">
        <v>2334</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180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80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4.4999999999999998E-2</v>
      </c>
      <c r="C34" s="2328" t="s">
        <v>2884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f>B30</f>
        <v>180</v>
      </c>
      <c r="C35" s="2328" t="s">
        <v>2885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2887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2887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2449</v>
      </c>
      <c r="B39" s="800">
        <f ca="1">存贷款利率!C4</f>
        <v>1.4999999999999999E-2</v>
      </c>
      <c r="C39" s="2328"/>
      <c r="D39" s="1977"/>
      <c r="E39" s="1976">
        <f ca="1">'剩余法-待开发'!D8</f>
        <v>30906</v>
      </c>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2450</v>
      </c>
      <c r="B40" s="2444">
        <f ca="1">存贷款利率!E2</f>
        <v>4.7500000000000001E-2</v>
      </c>
      <c r="C40" s="2328" t="s">
        <v>2335</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2888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2889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1095</v>
      </c>
      <c r="C53" s="3026" t="s">
        <v>2894</v>
      </c>
      <c r="D53" s="3027" t="s">
        <v>2895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2896</v>
      </c>
      <c r="B54" s="186">
        <v>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2897</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2898</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2899</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2900</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2901</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2904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4"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conditionalFormatting sqref="T6:T15">
    <cfRule type="expression" dxfId="14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70" t="s">
        <v>1662</v>
      </c>
      <c r="B1" s="3371"/>
      <c r="C1" s="3371"/>
      <c r="D1" s="3371"/>
      <c r="E1" s="3371"/>
      <c r="F1" s="3371"/>
      <c r="G1" s="3371"/>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42.75">
      <c r="A3" s="1222" t="s">
        <v>1665</v>
      </c>
      <c r="B3" s="1223" t="s">
        <v>1652</v>
      </c>
      <c r="C3" s="3186" t="s">
        <v>3441</v>
      </c>
      <c r="D3" s="1993"/>
      <c r="E3" s="1224" t="s">
        <v>1665</v>
      </c>
      <c r="F3" s="1225" t="s">
        <v>1653</v>
      </c>
      <c r="G3" s="3033" t="s">
        <v>2910</v>
      </c>
      <c r="H3" s="1992"/>
      <c r="I3" s="1992"/>
      <c r="J3" s="1992"/>
      <c r="K3" s="1992"/>
      <c r="L3" s="1992"/>
      <c r="M3" s="1992"/>
      <c r="N3" s="1992"/>
      <c r="O3" s="1992"/>
      <c r="P3" s="1992"/>
      <c r="Q3" s="1992"/>
      <c r="R3" s="1992"/>
    </row>
    <row r="4" spans="1:18" ht="40.5">
      <c r="A4" s="1224"/>
      <c r="B4" s="1226" t="s">
        <v>1666</v>
      </c>
      <c r="C4" s="3187" t="s">
        <v>3443</v>
      </c>
      <c r="D4" s="1993"/>
      <c r="E4" s="1227"/>
      <c r="F4" s="1228" t="s">
        <v>1667</v>
      </c>
      <c r="G4" s="3031" t="s">
        <v>2907</v>
      </c>
      <c r="H4" s="1992"/>
      <c r="I4" s="1992"/>
      <c r="J4" s="1992"/>
      <c r="K4" s="1992"/>
      <c r="L4" s="1992"/>
      <c r="M4" s="1992"/>
      <c r="N4" s="1992"/>
      <c r="O4" s="1992"/>
      <c r="P4" s="1992"/>
      <c r="Q4" s="1992"/>
      <c r="R4" s="1992"/>
    </row>
    <row r="5" spans="1:18" ht="27">
      <c r="A5" s="1224"/>
      <c r="B5" s="1226" t="s">
        <v>1668</v>
      </c>
      <c r="C5" s="3187" t="s">
        <v>3443</v>
      </c>
      <c r="D5" s="1993"/>
      <c r="E5" s="1227"/>
      <c r="F5" s="1226" t="s">
        <v>2539</v>
      </c>
      <c r="G5" s="3031" t="s">
        <v>2908</v>
      </c>
      <c r="H5" s="1992"/>
      <c r="I5" s="1992"/>
      <c r="J5" s="1992"/>
      <c r="K5" s="1992"/>
      <c r="L5" s="1992"/>
      <c r="M5" s="1992"/>
      <c r="N5" s="1992"/>
      <c r="O5" s="1992"/>
      <c r="P5" s="1992"/>
      <c r="Q5" s="1992"/>
      <c r="R5" s="1992"/>
    </row>
    <row r="6" spans="1:18" ht="27">
      <c r="A6" s="1224"/>
      <c r="B6" s="1226" t="s">
        <v>1654</v>
      </c>
      <c r="C6" s="3188" t="s">
        <v>3443</v>
      </c>
      <c r="D6" s="1993"/>
      <c r="E6" s="1227"/>
      <c r="F6" s="1226" t="s">
        <v>2540</v>
      </c>
      <c r="G6" s="3031" t="s">
        <v>2906</v>
      </c>
      <c r="H6" s="1992"/>
      <c r="I6" s="1992"/>
      <c r="J6" s="1992"/>
      <c r="K6" s="1992"/>
      <c r="L6" s="1992"/>
      <c r="M6" s="1992"/>
      <c r="N6" s="1992"/>
      <c r="O6" s="1992"/>
      <c r="P6" s="1992"/>
      <c r="Q6" s="1992"/>
      <c r="R6" s="1992"/>
    </row>
    <row r="7" spans="1:18" ht="41.25" thickBot="1">
      <c r="A7" s="1224"/>
      <c r="B7" s="1226" t="s">
        <v>2539</v>
      </c>
      <c r="C7" s="3188" t="s">
        <v>3442</v>
      </c>
      <c r="D7" s="1994"/>
      <c r="E7" s="1229"/>
      <c r="F7" s="1230" t="s">
        <v>1669</v>
      </c>
      <c r="G7" s="3034" t="s">
        <v>2909</v>
      </c>
      <c r="H7" s="1992"/>
      <c r="I7" s="1992"/>
      <c r="J7" s="1992"/>
      <c r="K7" s="1992"/>
      <c r="L7" s="1992"/>
      <c r="M7" s="1992"/>
      <c r="N7" s="1992"/>
      <c r="O7" s="1992"/>
      <c r="P7" s="1992"/>
      <c r="Q7" s="1992"/>
      <c r="R7" s="1992"/>
    </row>
    <row r="8" spans="1:18">
      <c r="A8" s="1224"/>
      <c r="B8" s="1226" t="s">
        <v>2540</v>
      </c>
      <c r="C8" s="3188" t="s">
        <v>3444</v>
      </c>
      <c r="D8" s="1994"/>
      <c r="E8" s="1994"/>
      <c r="F8" s="1539"/>
      <c r="G8" s="1539"/>
      <c r="H8" s="1992"/>
      <c r="I8" s="1992"/>
      <c r="J8" s="1992"/>
      <c r="K8" s="1992"/>
      <c r="L8" s="1992"/>
      <c r="M8" s="1992"/>
      <c r="N8" s="1992"/>
      <c r="O8" s="1992"/>
      <c r="P8" s="1992"/>
      <c r="Q8" s="1992"/>
      <c r="R8" s="1992"/>
    </row>
    <row r="9" spans="1:18">
      <c r="A9" s="1224"/>
      <c r="B9" s="1226" t="s">
        <v>1655</v>
      </c>
      <c r="C9" s="3187" t="s">
        <v>3496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2"/>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40.5">
      <c r="A15" s="2551" t="s">
        <v>1656</v>
      </c>
      <c r="B15" s="1237" t="s">
        <v>1652</v>
      </c>
      <c r="C15" s="1238" t="str">
        <f>C3</f>
        <v>较好</v>
      </c>
      <c r="D15" s="1993"/>
      <c r="E15" s="2548" t="s">
        <v>1657</v>
      </c>
      <c r="F15" s="1237" t="s">
        <v>1672</v>
      </c>
      <c r="G15" s="1239" t="str">
        <f>G3</f>
        <v>估价对象位于XX开发区，园区建设成熟度XX，产业集聚程度XX</v>
      </c>
    </row>
    <row r="16" spans="1:18" ht="40.5">
      <c r="A16" s="2552"/>
      <c r="B16" s="1240" t="s">
        <v>1666</v>
      </c>
      <c r="C16" s="1241" t="str">
        <f>C4</f>
        <v>较好</v>
      </c>
      <c r="D16" s="1993"/>
      <c r="E16" s="2549"/>
      <c r="F16" s="1242" t="s">
        <v>1667</v>
      </c>
      <c r="G16" s="1004" t="str">
        <f>G4</f>
        <v>估价对象周边道路状况、公共交通通达情况、停车便捷程度，综合评价交通便捷度较好</v>
      </c>
    </row>
    <row r="17" spans="1:7" ht="14.25">
      <c r="A17" s="2552"/>
      <c r="B17" s="1240" t="s">
        <v>1668</v>
      </c>
      <c r="C17" s="1241" t="str">
        <f>C5</f>
        <v>较好</v>
      </c>
      <c r="D17" s="1994"/>
      <c r="E17" s="2549"/>
      <c r="F17" s="1242" t="s">
        <v>1673</v>
      </c>
      <c r="G17" s="2749"/>
    </row>
    <row r="18" spans="1:7" ht="40.5">
      <c r="A18" s="2552"/>
      <c r="B18" s="1242" t="s">
        <v>1654</v>
      </c>
      <c r="C18" s="1004" t="str">
        <f>C6</f>
        <v>较好</v>
      </c>
      <c r="D18" s="1994"/>
      <c r="E18" s="2549"/>
      <c r="F18" s="1242" t="s">
        <v>1669</v>
      </c>
      <c r="G18" s="1004" t="str">
        <f>G7</f>
        <v>该园区内是否有污染型企业，绿化情况，卫生条件，整体环境状况判断</v>
      </c>
    </row>
    <row r="19" spans="1:7" ht="27">
      <c r="A19" s="2552"/>
      <c r="B19" s="1242" t="s">
        <v>1658</v>
      </c>
      <c r="C19" s="3189" t="s">
        <v>3445</v>
      </c>
      <c r="D19" s="1993"/>
      <c r="E19" s="2549"/>
      <c r="F19" s="1226" t="s">
        <v>2539</v>
      </c>
      <c r="G19" s="1004" t="str">
        <f>G5</f>
        <v>估价对象所在区域公共配套设施齐备情况</v>
      </c>
    </row>
    <row r="20" spans="1:7" ht="27">
      <c r="A20" s="2552"/>
      <c r="B20" s="1242" t="s">
        <v>1659</v>
      </c>
      <c r="C20" s="1241" t="str">
        <f>C9</f>
        <v>好</v>
      </c>
      <c r="D20" s="1994"/>
      <c r="E20" s="2549"/>
      <c r="F20" s="1226" t="s">
        <v>2540</v>
      </c>
      <c r="G20" s="1004" t="str">
        <f>G6</f>
        <v>估价对象所在区域基础设施水平</v>
      </c>
    </row>
    <row r="21" spans="1:7" ht="14.25">
      <c r="A21" s="2552"/>
      <c r="B21" s="1226" t="s">
        <v>2539</v>
      </c>
      <c r="C21" s="1004" t="str">
        <f>C7</f>
        <v>一般</v>
      </c>
      <c r="D21" s="1993"/>
      <c r="E21" s="2549"/>
      <c r="F21" s="1242" t="s">
        <v>1660</v>
      </c>
      <c r="G21" s="3035"/>
    </row>
    <row r="22" spans="1:7" ht="14.25">
      <c r="A22" s="2552"/>
      <c r="B22" s="1226" t="s">
        <v>2540</v>
      </c>
      <c r="C22" s="1004" t="str">
        <f>C8</f>
        <v>六通</v>
      </c>
      <c r="D22" s="1993"/>
      <c r="E22" s="2549"/>
      <c r="F22" s="1242" t="s">
        <v>1670</v>
      </c>
      <c r="G22" s="2749"/>
    </row>
    <row r="23" spans="1:7" ht="15" thickBot="1">
      <c r="A23" s="2552"/>
      <c r="B23" s="1242" t="s">
        <v>1660</v>
      </c>
      <c r="C23" s="3035"/>
      <c r="E23" s="2550"/>
      <c r="F23" s="1243" t="s">
        <v>1674</v>
      </c>
      <c r="G23" s="3036"/>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3" sqref="G23"/>
    </sheetView>
  </sheetViews>
  <sheetFormatPr defaultColWidth="14.625" defaultRowHeight="13.5"/>
  <cols>
    <col min="1" max="1" width="24.375" customWidth="1"/>
  </cols>
  <sheetData>
    <row r="1" spans="1:9" ht="16.5">
      <c r="A1" s="2995" t="s">
        <v>2837</v>
      </c>
      <c r="B1" s="2995">
        <f>SUM(B14:B23)</f>
        <v>723743.8</v>
      </c>
      <c r="C1" s="2996"/>
      <c r="D1" s="2996"/>
      <c r="E1" s="2996"/>
      <c r="F1" s="2996"/>
    </row>
    <row r="2" spans="1:9" ht="16.5">
      <c r="A2" s="2995" t="s">
        <v>2838</v>
      </c>
      <c r="B2" s="2995">
        <f>SUM(C14:C23)</f>
        <v>248280.30000000002</v>
      </c>
      <c r="C2" s="2996"/>
      <c r="D2" s="2996"/>
      <c r="E2" s="2996"/>
      <c r="F2" s="2996"/>
    </row>
    <row r="3" spans="1:9" ht="16.5">
      <c r="A3" s="2995" t="s">
        <v>2839</v>
      </c>
      <c r="B3" s="2997">
        <f>项目基本情况!D3</f>
        <v>43629</v>
      </c>
      <c r="C3" s="2996"/>
      <c r="D3" s="2996"/>
      <c r="E3" s="2996"/>
      <c r="F3" s="2996"/>
    </row>
    <row r="4" spans="1:9" ht="33">
      <c r="A4" s="2995" t="s">
        <v>2840</v>
      </c>
      <c r="B4" s="2995" t="s">
        <v>2841</v>
      </c>
      <c r="C4" s="2995" t="s">
        <v>2842</v>
      </c>
      <c r="D4" s="2995" t="s">
        <v>2843</v>
      </c>
      <c r="E4" s="2996"/>
      <c r="F4" s="2996"/>
    </row>
    <row r="5" spans="1:9" ht="16.5">
      <c r="A5" s="2995" t="s">
        <v>2844</v>
      </c>
      <c r="B5" s="2995">
        <f ca="1">SUM(D14:D23)</f>
        <v>604830</v>
      </c>
      <c r="C5" s="2995">
        <f ca="1">ROUND(B5*10000/$B$1,0)</f>
        <v>8357</v>
      </c>
      <c r="D5" s="2995">
        <f ca="1">ROUND(B5*10000/$B$2,0)</f>
        <v>24361</v>
      </c>
      <c r="E5" s="2996"/>
      <c r="F5" s="2996"/>
    </row>
    <row r="6" spans="1:9" ht="16.5">
      <c r="A6" s="2995" t="s">
        <v>2845</v>
      </c>
      <c r="B6" s="2995">
        <f ca="1">SUM(G14:G23)</f>
        <v>604830</v>
      </c>
      <c r="C6" s="2995">
        <f t="shared" ref="C6:C8" ca="1" si="0">ROUND(B6*10000/$B$1,0)</f>
        <v>8357</v>
      </c>
      <c r="D6" s="2995">
        <f t="shared" ref="D6:D8" ca="1" si="1">ROUND(B6*10000/$B$2,0)</f>
        <v>24361</v>
      </c>
      <c r="E6" s="2996"/>
      <c r="F6" s="2996"/>
    </row>
    <row r="7" spans="1:9" ht="16.5">
      <c r="A7" s="2995" t="s">
        <v>2846</v>
      </c>
      <c r="B7" s="2995">
        <f>SUM(H14:H23)</f>
        <v>0</v>
      </c>
      <c r="C7" s="2995">
        <f t="shared" si="0"/>
        <v>0</v>
      </c>
      <c r="D7" s="2995">
        <f t="shared" si="1"/>
        <v>0</v>
      </c>
      <c r="E7" s="2996"/>
      <c r="F7" s="2996"/>
    </row>
    <row r="8" spans="1:9" ht="16.5">
      <c r="A8" s="2995" t="s">
        <v>2847</v>
      </c>
      <c r="B8" s="2995">
        <f ca="1">SUM(I14:I23)</f>
        <v>424127</v>
      </c>
      <c r="C8" s="2995">
        <f t="shared" ca="1" si="0"/>
        <v>5860</v>
      </c>
      <c r="D8" s="2995">
        <f t="shared" ca="1" si="1"/>
        <v>17083</v>
      </c>
      <c r="E8" s="2996"/>
      <c r="F8" s="2996"/>
    </row>
    <row r="9" spans="1:9" ht="16.5">
      <c r="A9" s="2995" t="s">
        <v>2848</v>
      </c>
      <c r="B9" s="2998"/>
      <c r="C9" s="2996"/>
      <c r="D9" s="2996"/>
      <c r="E9" s="2996"/>
      <c r="F9" s="2996"/>
    </row>
    <row r="10" spans="1:9" ht="16.5">
      <c r="A10" s="2995" t="s">
        <v>2849</v>
      </c>
      <c r="B10" s="2998"/>
      <c r="C10" s="2996"/>
      <c r="D10" s="2996"/>
      <c r="E10" s="2996"/>
      <c r="F10" s="2996"/>
    </row>
    <row r="11" spans="1:9" ht="16.5">
      <c r="A11" s="2995" t="s">
        <v>2866</v>
      </c>
      <c r="B11" s="2998"/>
      <c r="C11" s="2996"/>
      <c r="D11" s="2996"/>
      <c r="E11" s="2996"/>
      <c r="F11" s="2996"/>
    </row>
    <row r="12" spans="1:9" ht="16.5">
      <c r="A12" s="2996"/>
      <c r="B12" s="2996"/>
      <c r="C12" s="2996"/>
      <c r="D12" s="2996"/>
      <c r="E12" s="2996"/>
      <c r="F12" s="2996"/>
    </row>
    <row r="13" spans="1:9" ht="33">
      <c r="A13" s="3001" t="s">
        <v>2865</v>
      </c>
      <c r="B13" s="2999" t="s">
        <v>2837</v>
      </c>
      <c r="C13" s="2999" t="s">
        <v>2838</v>
      </c>
      <c r="D13" s="2999" t="s">
        <v>2850</v>
      </c>
      <c r="E13" s="2995" t="s">
        <v>2864</v>
      </c>
      <c r="F13" s="2995" t="s">
        <v>2843</v>
      </c>
      <c r="G13" s="2999" t="s">
        <v>2851</v>
      </c>
      <c r="H13" s="2999" t="s">
        <v>2852</v>
      </c>
      <c r="I13" s="2999" t="s">
        <v>2853</v>
      </c>
    </row>
    <row r="14" spans="1:9" ht="16.5">
      <c r="A14" s="3002" t="s">
        <v>2863</v>
      </c>
      <c r="B14" s="2999">
        <f>结果表!L38</f>
        <v>240271.90000000002</v>
      </c>
      <c r="C14" s="2999">
        <f>结果表!K38</f>
        <v>77285.8</v>
      </c>
      <c r="D14" s="2999">
        <f ca="1">结果表!C42</f>
        <v>438377</v>
      </c>
      <c r="E14" s="2999">
        <f ca="1">ROUND(D14*10000/B14,0)</f>
        <v>18245</v>
      </c>
      <c r="F14" s="2999">
        <f ca="1">ROUND(D14*10000/C14,0)</f>
        <v>56722</v>
      </c>
      <c r="G14" s="2999">
        <f ca="1">结果表!C44</f>
        <v>438377</v>
      </c>
      <c r="H14" s="2999" t="str">
        <f>结果表!C45</f>
        <v>——</v>
      </c>
      <c r="I14" s="2999">
        <f ca="1">结果表!C46</f>
        <v>268546</v>
      </c>
    </row>
    <row r="15" spans="1:9" ht="16.5">
      <c r="A15" s="3002" t="s">
        <v>2854</v>
      </c>
      <c r="B15" s="3195">
        <f>[1]系统读取表!B14</f>
        <v>231063.5</v>
      </c>
      <c r="C15" s="3195">
        <f>[1]系统读取表!C14</f>
        <v>85512.1</v>
      </c>
      <c r="D15" s="3195">
        <f ca="1">[1]系统读取表!D14</f>
        <v>115682</v>
      </c>
      <c r="E15" s="2999">
        <f t="shared" ref="E15:E23" ca="1" si="2">ROUND(D15*10000/B15,0)</f>
        <v>5007</v>
      </c>
      <c r="F15" s="2999">
        <f t="shared" ref="F15:F23" ca="1" si="3">ROUND(D15*10000/C15,0)</f>
        <v>13528</v>
      </c>
      <c r="G15" s="3195">
        <f ca="1">[1]系统读取表!G14</f>
        <v>115682</v>
      </c>
      <c r="H15" s="3195" t="str">
        <f>[1]系统读取表!H14</f>
        <v>——</v>
      </c>
      <c r="I15" s="3195">
        <f ca="1">[1]系统读取表!I14</f>
        <v>107543</v>
      </c>
    </row>
    <row r="16" spans="1:9" ht="16.5">
      <c r="A16" s="3002" t="s">
        <v>2855</v>
      </c>
      <c r="B16" s="3195">
        <f>[2]系统读取表!B14</f>
        <v>252408.4</v>
      </c>
      <c r="C16" s="3195">
        <f>[2]系统读取表!C14</f>
        <v>85482.4</v>
      </c>
      <c r="D16" s="3195">
        <f ca="1">[2]系统读取表!D14</f>
        <v>50771</v>
      </c>
      <c r="E16" s="2999">
        <f t="shared" ca="1" si="2"/>
        <v>2011</v>
      </c>
      <c r="F16" s="2999">
        <f t="shared" ca="1" si="3"/>
        <v>5939</v>
      </c>
      <c r="G16" s="3195">
        <f ca="1">[2]系统读取表!G14</f>
        <v>50771</v>
      </c>
      <c r="H16" s="3195" t="str">
        <f>[2]系统读取表!H14</f>
        <v>——</v>
      </c>
      <c r="I16" s="3195">
        <f ca="1">[2]系统读取表!I14</f>
        <v>48038</v>
      </c>
    </row>
    <row r="17" spans="1:9" ht="16.5">
      <c r="A17" s="3002" t="s">
        <v>2856</v>
      </c>
      <c r="B17" s="3003"/>
      <c r="C17" s="3003"/>
      <c r="D17" s="3003"/>
      <c r="E17" s="2999" t="e">
        <f t="shared" si="2"/>
        <v>#DIV/0!</v>
      </c>
      <c r="F17" s="2999" t="e">
        <f t="shared" si="3"/>
        <v>#DIV/0!</v>
      </c>
      <c r="G17" s="3000"/>
      <c r="H17" s="3000"/>
      <c r="I17" s="3003"/>
    </row>
    <row r="18" spans="1:9" ht="16.5">
      <c r="A18" s="3002" t="s">
        <v>2857</v>
      </c>
      <c r="B18" s="3003"/>
      <c r="C18" s="3003"/>
      <c r="D18" s="3003"/>
      <c r="E18" s="2999" t="e">
        <f t="shared" si="2"/>
        <v>#DIV/0!</v>
      </c>
      <c r="F18" s="2999" t="e">
        <f t="shared" si="3"/>
        <v>#DIV/0!</v>
      </c>
      <c r="G18" s="3003"/>
      <c r="H18" s="3003"/>
      <c r="I18" s="3003"/>
    </row>
    <row r="19" spans="1:9" ht="16.5">
      <c r="A19" s="3002" t="s">
        <v>2858</v>
      </c>
      <c r="B19" s="3003"/>
      <c r="C19" s="3003"/>
      <c r="D19" s="3003"/>
      <c r="E19" s="2999" t="e">
        <f t="shared" si="2"/>
        <v>#DIV/0!</v>
      </c>
      <c r="F19" s="2999" t="e">
        <f t="shared" si="3"/>
        <v>#DIV/0!</v>
      </c>
      <c r="G19" s="3003"/>
      <c r="H19" s="3003"/>
      <c r="I19" s="3003"/>
    </row>
    <row r="20" spans="1:9" ht="16.5">
      <c r="A20" s="3002" t="s">
        <v>2859</v>
      </c>
      <c r="B20" s="3003"/>
      <c r="C20" s="3003"/>
      <c r="D20" s="3003"/>
      <c r="E20" s="2999" t="e">
        <f t="shared" si="2"/>
        <v>#DIV/0!</v>
      </c>
      <c r="F20" s="2999" t="e">
        <f t="shared" si="3"/>
        <v>#DIV/0!</v>
      </c>
      <c r="G20" s="3003"/>
      <c r="H20" s="3003"/>
      <c r="I20" s="3003"/>
    </row>
    <row r="21" spans="1:9" ht="16.5">
      <c r="A21" s="3002" t="s">
        <v>2860</v>
      </c>
      <c r="B21" s="3003"/>
      <c r="C21" s="3003"/>
      <c r="D21" s="3003"/>
      <c r="E21" s="2999" t="e">
        <f t="shared" si="2"/>
        <v>#DIV/0!</v>
      </c>
      <c r="F21" s="2999" t="e">
        <f t="shared" si="3"/>
        <v>#DIV/0!</v>
      </c>
      <c r="G21" s="3003"/>
      <c r="H21" s="3003"/>
      <c r="I21" s="3003"/>
    </row>
    <row r="22" spans="1:9" ht="16.5">
      <c r="A22" s="3002" t="s">
        <v>2861</v>
      </c>
      <c r="B22" s="3003"/>
      <c r="C22" s="3003"/>
      <c r="D22" s="3003"/>
      <c r="E22" s="2999" t="e">
        <f t="shared" si="2"/>
        <v>#DIV/0!</v>
      </c>
      <c r="F22" s="2999" t="e">
        <f t="shared" si="3"/>
        <v>#DIV/0!</v>
      </c>
      <c r="G22" s="3003"/>
      <c r="H22" s="3003"/>
      <c r="I22" s="3003"/>
    </row>
    <row r="23" spans="1:9" ht="16.5">
      <c r="A23" s="3002" t="s">
        <v>2862</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2" zoomScaleNormal="100" zoomScaleSheetLayoutView="100" zoomScalePageLayoutView="80" workbookViewId="0">
      <selection activeCell="C110" sqref="C110:C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2051</v>
      </c>
      <c r="B1" s="1761"/>
      <c r="C1" s="1789" t="s">
        <v>2052</v>
      </c>
      <c r="D1" s="1790" t="s">
        <v>3448</v>
      </c>
      <c r="E1" s="1789" t="s">
        <v>2053</v>
      </c>
      <c r="F1" s="1791" t="s">
        <v>3447</v>
      </c>
      <c r="G1" s="311"/>
      <c r="H1" s="311"/>
      <c r="I1" s="311"/>
      <c r="J1" s="2013"/>
      <c r="K1" s="2013"/>
      <c r="L1" s="2013"/>
      <c r="M1" s="2013"/>
      <c r="N1" s="2013"/>
      <c r="O1" s="2013"/>
      <c r="P1" s="2013"/>
      <c r="Q1" s="2013"/>
      <c r="R1" s="2013"/>
      <c r="S1" s="2013"/>
      <c r="T1" s="2013"/>
      <c r="U1" s="2013"/>
      <c r="V1" s="2013"/>
    </row>
    <row r="2" spans="1:22" ht="21.75" customHeight="1" thickBot="1">
      <c r="A2" s="3408" t="str">
        <f>项目基本情况!K2</f>
        <v>江苏省南京市浦口区总部大道以北地块出让国有建设用地使用权</v>
      </c>
      <c r="B2" s="3409"/>
      <c r="C2" s="3410"/>
      <c r="D2" s="3410"/>
      <c r="E2" s="3410"/>
      <c r="F2" s="3410"/>
      <c r="G2" s="3409"/>
      <c r="H2" s="3409"/>
      <c r="I2" s="3411"/>
      <c r="J2" s="2014"/>
      <c r="K2" s="2013"/>
      <c r="L2" s="2013"/>
      <c r="M2" s="2013"/>
      <c r="N2" s="2013"/>
      <c r="O2" s="2013"/>
      <c r="P2" s="2013"/>
      <c r="Q2" s="2013"/>
      <c r="R2" s="2013"/>
      <c r="S2" s="2013"/>
      <c r="T2" s="2013"/>
      <c r="U2" s="2013"/>
      <c r="V2" s="2013"/>
    </row>
    <row r="3" spans="1:22" ht="14.25">
      <c r="A3" s="3401" t="s">
        <v>298</v>
      </c>
      <c r="B3" s="3402"/>
      <c r="C3" s="3402"/>
      <c r="D3" s="3402"/>
      <c r="E3" s="3402"/>
      <c r="F3" s="3402"/>
      <c r="G3" s="3402"/>
      <c r="H3" s="3402"/>
      <c r="I3" s="3402"/>
      <c r="J3" s="2014"/>
      <c r="K3" s="2013"/>
      <c r="L3" s="2013"/>
      <c r="M3" s="2013"/>
      <c r="N3" s="2013"/>
      <c r="O3" s="2013"/>
      <c r="P3" s="2013"/>
      <c r="Q3" s="2013"/>
      <c r="R3" s="2013"/>
      <c r="S3" s="2013"/>
      <c r="T3" s="2013"/>
      <c r="U3" s="2013"/>
      <c r="V3" s="2013"/>
    </row>
    <row r="4" spans="1:22" ht="14.25">
      <c r="A4" s="258" t="s">
        <v>299</v>
      </c>
      <c r="B4" s="259" t="s">
        <v>300</v>
      </c>
      <c r="C4" s="260" t="s">
        <v>3449</v>
      </c>
      <c r="D4" s="260" t="s">
        <v>3450</v>
      </c>
      <c r="E4" s="3373" t="s">
        <v>301</v>
      </c>
      <c r="F4" s="3374"/>
      <c r="G4" s="3374"/>
      <c r="H4" s="3374"/>
      <c r="I4" s="3403"/>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72" t="s">
        <v>302</v>
      </c>
      <c r="B5" s="3398">
        <v>25</v>
      </c>
      <c r="C5" s="3396"/>
      <c r="D5" s="3400"/>
      <c r="E5" s="261" t="s">
        <v>303</v>
      </c>
      <c r="F5" s="262"/>
      <c r="G5" s="262"/>
      <c r="H5" s="262"/>
      <c r="I5" s="263"/>
      <c r="J5" s="2014"/>
      <c r="K5" s="2013"/>
      <c r="L5" s="2013"/>
      <c r="M5" s="2013"/>
      <c r="N5" s="2013"/>
      <c r="O5" s="2013"/>
      <c r="P5" s="2013"/>
      <c r="Q5" s="2013"/>
      <c r="R5" s="2013"/>
      <c r="S5" s="2013"/>
      <c r="T5" s="2013"/>
      <c r="U5" s="2013"/>
      <c r="V5" s="2013"/>
    </row>
    <row r="6" spans="1:22" ht="14.25">
      <c r="A6" s="3372"/>
      <c r="B6" s="3398"/>
      <c r="C6" s="3399"/>
      <c r="D6" s="3400"/>
      <c r="E6" s="261" t="s">
        <v>304</v>
      </c>
      <c r="F6" s="262"/>
      <c r="G6" s="262"/>
      <c r="H6" s="262"/>
      <c r="I6" s="263"/>
      <c r="J6" s="2014"/>
      <c r="K6" s="2013"/>
      <c r="L6" s="2013"/>
      <c r="M6" s="2013"/>
      <c r="N6" s="2013"/>
      <c r="O6" s="2013"/>
      <c r="P6" s="2013"/>
      <c r="Q6" s="2013"/>
      <c r="R6" s="2013"/>
      <c r="S6" s="2013"/>
      <c r="T6" s="2013"/>
      <c r="U6" s="2013"/>
      <c r="V6" s="2013"/>
    </row>
    <row r="7" spans="1:22" ht="14.25">
      <c r="A7" s="3372"/>
      <c r="B7" s="3398"/>
      <c r="C7" s="3397"/>
      <c r="D7" s="3400"/>
      <c r="E7" s="261" t="s">
        <v>305</v>
      </c>
      <c r="F7" s="262"/>
      <c r="G7" s="262"/>
      <c r="H7" s="262"/>
      <c r="I7" s="263"/>
      <c r="J7" s="2014"/>
      <c r="K7" s="2013"/>
      <c r="L7" s="2013"/>
      <c r="M7" s="2013"/>
      <c r="N7" s="2013"/>
      <c r="O7" s="2013"/>
      <c r="P7" s="2013"/>
      <c r="Q7" s="2013"/>
      <c r="R7" s="2013"/>
      <c r="S7" s="2013"/>
      <c r="T7" s="2013"/>
      <c r="U7" s="2013"/>
      <c r="V7" s="2013"/>
    </row>
    <row r="8" spans="1:22" ht="14.25">
      <c r="A8" s="3372" t="s">
        <v>306</v>
      </c>
      <c r="B8" s="3398">
        <v>15</v>
      </c>
      <c r="C8" s="3396"/>
      <c r="D8" s="3400"/>
      <c r="E8" s="261" t="s">
        <v>307</v>
      </c>
      <c r="F8" s="262"/>
      <c r="G8" s="262"/>
      <c r="H8" s="262"/>
      <c r="I8" s="263"/>
      <c r="J8" s="2014"/>
      <c r="K8" s="2013"/>
      <c r="L8" s="2013"/>
      <c r="M8" s="2013"/>
      <c r="N8" s="2013"/>
      <c r="O8" s="2013"/>
      <c r="P8" s="2013"/>
      <c r="Q8" s="2013"/>
      <c r="R8" s="2013"/>
      <c r="S8" s="2013"/>
      <c r="T8" s="2013"/>
      <c r="U8" s="2013"/>
      <c r="V8" s="2013"/>
    </row>
    <row r="9" spans="1:22" ht="14.25">
      <c r="A9" s="3372"/>
      <c r="B9" s="3398"/>
      <c r="C9" s="3397"/>
      <c r="D9" s="3400"/>
      <c r="E9" s="261" t="s">
        <v>308</v>
      </c>
      <c r="F9" s="262"/>
      <c r="G9" s="262"/>
      <c r="H9" s="262"/>
      <c r="I9" s="263"/>
      <c r="J9" s="2014"/>
      <c r="K9" s="2013"/>
      <c r="L9" s="2013"/>
      <c r="M9" s="2013"/>
      <c r="N9" s="2013"/>
      <c r="O9" s="2013"/>
      <c r="P9" s="2013"/>
      <c r="Q9" s="2013"/>
      <c r="R9" s="2013"/>
      <c r="S9" s="2013"/>
      <c r="T9" s="2013"/>
      <c r="U9" s="2013"/>
      <c r="V9" s="2013"/>
    </row>
    <row r="10" spans="1:22" ht="14.25">
      <c r="A10" s="3372" t="s">
        <v>309</v>
      </c>
      <c r="B10" s="3398">
        <v>15</v>
      </c>
      <c r="C10" s="3396"/>
      <c r="D10" s="3400"/>
      <c r="E10" s="261" t="s">
        <v>310</v>
      </c>
      <c r="F10" s="262"/>
      <c r="G10" s="262"/>
      <c r="H10" s="262"/>
      <c r="I10" s="263"/>
      <c r="J10" s="2014"/>
      <c r="K10" s="2013"/>
      <c r="L10" s="2013"/>
      <c r="M10" s="2013"/>
      <c r="N10" s="2013"/>
      <c r="O10" s="2013"/>
      <c r="P10" s="2013"/>
      <c r="Q10" s="2013"/>
      <c r="R10" s="2013"/>
      <c r="S10" s="2013"/>
      <c r="T10" s="2013"/>
      <c r="U10" s="2013"/>
      <c r="V10" s="2013"/>
    </row>
    <row r="11" spans="1:22" ht="14.25">
      <c r="A11" s="3372"/>
      <c r="B11" s="3398"/>
      <c r="C11" s="3397"/>
      <c r="D11" s="3400"/>
      <c r="E11" s="261" t="s">
        <v>311</v>
      </c>
      <c r="F11" s="262"/>
      <c r="G11" s="262"/>
      <c r="H11" s="262"/>
      <c r="I11" s="263"/>
      <c r="J11" s="2014"/>
      <c r="K11" s="2013"/>
      <c r="L11" s="2013"/>
      <c r="M11" s="2013"/>
      <c r="N11" s="2013"/>
      <c r="O11" s="2013"/>
      <c r="P11" s="2013"/>
      <c r="Q11" s="2013"/>
      <c r="R11" s="2013"/>
      <c r="S11" s="2013"/>
      <c r="T11" s="2013"/>
      <c r="U11" s="2013"/>
      <c r="V11" s="2013"/>
    </row>
    <row r="12" spans="1:22" ht="14.25">
      <c r="A12" s="3372" t="s">
        <v>312</v>
      </c>
      <c r="B12" s="3398">
        <v>15</v>
      </c>
      <c r="C12" s="3396"/>
      <c r="D12" s="3400"/>
      <c r="E12" s="261" t="s">
        <v>313</v>
      </c>
      <c r="F12" s="262"/>
      <c r="G12" s="262"/>
      <c r="H12" s="262"/>
      <c r="I12" s="263"/>
      <c r="J12" s="2014"/>
      <c r="K12" s="2013"/>
      <c r="L12" s="2013"/>
      <c r="M12" s="2013"/>
      <c r="N12" s="2013"/>
      <c r="O12" s="2013"/>
      <c r="P12" s="2013"/>
      <c r="Q12" s="2013"/>
      <c r="R12" s="2013"/>
      <c r="S12" s="2013"/>
      <c r="T12" s="2013"/>
      <c r="U12" s="2013"/>
      <c r="V12" s="2013"/>
    </row>
    <row r="13" spans="1:22" ht="14.25">
      <c r="A13" s="3372"/>
      <c r="B13" s="3398"/>
      <c r="C13" s="3397"/>
      <c r="D13" s="3400"/>
      <c r="E13" s="261" t="s">
        <v>314</v>
      </c>
      <c r="F13" s="262"/>
      <c r="G13" s="262"/>
      <c r="H13" s="262"/>
      <c r="I13" s="263"/>
      <c r="J13" s="2014"/>
      <c r="K13" s="2013"/>
      <c r="L13" s="2013"/>
      <c r="M13" s="2013"/>
      <c r="N13" s="2013"/>
      <c r="O13" s="2013"/>
      <c r="P13" s="2013"/>
      <c r="Q13" s="2013"/>
      <c r="R13" s="2013"/>
      <c r="S13" s="2013"/>
      <c r="T13" s="2013"/>
      <c r="U13" s="2013"/>
      <c r="V13" s="2013"/>
    </row>
    <row r="14" spans="1:22" ht="14.25">
      <c r="A14" s="3372" t="s">
        <v>315</v>
      </c>
      <c r="B14" s="3398">
        <v>30</v>
      </c>
      <c r="C14" s="3396">
        <v>5</v>
      </c>
      <c r="D14" s="3400">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72"/>
      <c r="B15" s="3398"/>
      <c r="C15" s="3399"/>
      <c r="D15" s="3400"/>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2"/>
      <c r="B16" s="3398"/>
      <c r="C16" s="3397"/>
      <c r="D16" s="340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450758</v>
      </c>
      <c r="D19" s="271">
        <f ca="1">SUMIF(INDIRECT("'"&amp;D4&amp;"'"&amp;"!A:A"),结果表!B19,INDIRECT("'"&amp;D4&amp;"'"&amp;"!B:B"))</f>
        <v>425995</v>
      </c>
      <c r="E19" s="268" t="s">
        <v>323</v>
      </c>
      <c r="F19" s="269" t="s">
        <v>322</v>
      </c>
      <c r="G19" s="272">
        <f ca="1">ROUND(C19*$C$18+D19*$D$18,0)</f>
        <v>438377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18760</v>
      </c>
      <c r="D20" s="277">
        <f ca="1">SUMIF(INDIRECT("'"&amp;D4&amp;"'"&amp;"!A:A"),结果表!B20,INDIRECT("'"&amp;D4&amp;"'"&amp;"!B:B"))</f>
        <v>17730</v>
      </c>
      <c r="E20" s="274"/>
      <c r="F20" s="275" t="s">
        <v>325</v>
      </c>
      <c r="G20" s="278">
        <f ca="1">ROUND(C20*$C$18+D20*$D$18,0)</f>
        <v>18245</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58324</v>
      </c>
      <c r="D21" s="151">
        <f ca="1">SUMIF(INDIRECT("'"&amp;D4&amp;"'"&amp;"!A:A"),结果表!B21,INDIRECT("'"&amp;D4&amp;"'"&amp;"!B:B"))</f>
        <v>55119</v>
      </c>
      <c r="E21" s="274"/>
      <c r="F21" s="280" t="s">
        <v>327</v>
      </c>
      <c r="G21" s="282">
        <f ca="1">ROUND(C21*$C$18+D21*$D$18,0)</f>
        <v>56722</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5.8129790255754266E-2</v>
      </c>
      <c r="E22" s="284"/>
      <c r="F22" s="285"/>
      <c r="G22" s="286">
        <f ca="1">ROUND(G19/('数据-汇总表'!D3/666.67),0)</f>
        <v>3781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7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79"/>
      <c r="B25" s="1316" t="s">
        <v>331</v>
      </c>
      <c r="C25" s="290">
        <f>IF(B30=0,0,C30)</f>
        <v>0</v>
      </c>
      <c r="D25" s="291"/>
      <c r="E25" s="311"/>
      <c r="F25" s="311"/>
      <c r="G25" s="311"/>
      <c r="H25" s="311"/>
      <c r="I25" s="311"/>
      <c r="J25" s="2013"/>
      <c r="K25" s="1250" t="str">
        <f ca="1">项目基本情况!B16&amp;"国有建设用地使用权价格："&amp;O38&amp;"万元"</f>
        <v>出让国有建设用地使用权价格：438377万元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大写金额：人民币肆拾叁亿捌仟叁佰柒拾柒万元整</v>
      </c>
      <c r="L26" s="1247"/>
      <c r="M26" s="1247"/>
      <c r="N26" s="1247"/>
      <c r="O26" s="1246"/>
      <c r="P26" s="2013"/>
      <c r="Q26" s="2013"/>
      <c r="R26" s="2013"/>
      <c r="S26" s="2013"/>
      <c r="T26" s="2013"/>
      <c r="U26" s="2013"/>
      <c r="V26" s="2013"/>
      <c r="W26" s="292"/>
      <c r="X26" s="292"/>
      <c r="Y26" s="292"/>
      <c r="Z26" s="292"/>
    </row>
    <row r="27" spans="1:26" ht="18">
      <c r="A27" s="293"/>
      <c r="B27" s="294">
        <f>'数据-汇总表'!F31+'[1]数据-汇总表'!$F$31+'[2]数据-汇总表'!$F$31</f>
        <v>566223.80000000005</v>
      </c>
      <c r="C27" s="294">
        <f ca="1">ROUND(系统读取表!B5*10000/结果表!B27,0)</f>
        <v>10682</v>
      </c>
      <c r="D27" s="295"/>
      <c r="E27" s="311"/>
      <c r="F27" s="311"/>
      <c r="G27" s="311"/>
      <c r="H27" s="311"/>
      <c r="I27" s="311"/>
      <c r="J27" s="2013"/>
      <c r="K27" s="1253" t="str">
        <f ca="1">"单位面积地价："&amp;M38&amp;"元/平方米"</f>
        <v>单位面积地价：56722元/平方米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楼面地价：18245元/平方米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抵押价格：438377万元</v>
      </c>
      <c r="L29" s="1247"/>
      <c r="M29" s="1247"/>
      <c r="N29" s="1247"/>
      <c r="O29" s="1246"/>
      <c r="P29" s="2013"/>
      <c r="V29" s="2013"/>
    </row>
    <row r="30" spans="1:26" ht="18.75" thickBot="1">
      <c r="A30" s="3078" t="s">
        <v>336</v>
      </c>
      <c r="B30" s="309"/>
      <c r="C30" s="309"/>
      <c r="D30" s="310"/>
      <c r="E30" s="3079" t="s">
        <v>2955</v>
      </c>
      <c r="F30" s="311"/>
      <c r="G30" s="311"/>
      <c r="H30" s="311"/>
      <c r="I30" s="311"/>
      <c r="J30" s="2013"/>
      <c r="K30" s="1253" t="str">
        <f ca="1">IF(K29="——","——","大写金额：人民币"&amp;NUMBERSTRING(INT(O39*10000),2)&amp;"元整")</f>
        <v>大写金额：人民币肆拾叁亿捌仟叁佰柒拾柒万元整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438377</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18245</v>
      </c>
      <c r="D33" s="1381" t="s">
        <v>1690</v>
      </c>
      <c r="E33" s="3378" t="s">
        <v>338</v>
      </c>
      <c r="F33" s="296" t="s">
        <v>339</v>
      </c>
      <c r="G33" s="297"/>
      <c r="H33" s="979"/>
      <c r="I33" s="1254"/>
      <c r="J33" s="2013"/>
      <c r="K33" s="1253" t="str">
        <f ca="1">IF(项目基本情况!E9="——","——","抵押净值："&amp;C46&amp;"万元")</f>
        <v>抵押净值：268546万元</v>
      </c>
      <c r="L33" s="1247"/>
      <c r="M33" s="1247"/>
      <c r="N33" s="1247"/>
      <c r="O33" s="1246"/>
      <c r="P33" s="2013"/>
      <c r="V33" s="2013"/>
    </row>
    <row r="34" spans="1:26" s="1249" customFormat="1" ht="18.75" thickBot="1">
      <c r="A34" s="300"/>
      <c r="B34" s="1382" t="s">
        <v>1691</v>
      </c>
      <c r="C34" s="264">
        <f ca="1">ROUND(C32*10000/'数据-汇总表'!D3,0)</f>
        <v>56722</v>
      </c>
      <c r="D34" s="1383" t="s">
        <v>1690</v>
      </c>
      <c r="E34" s="3419"/>
      <c r="F34" s="127" t="s">
        <v>341</v>
      </c>
      <c r="G34" s="299"/>
      <c r="H34" s="105"/>
      <c r="I34" s="311"/>
      <c r="J34" s="2013"/>
      <c r="K34" s="1256" t="str">
        <f ca="1">IF(K33="——","——","大写金额：人民币"&amp;NUMBERSTRING(INT(O41*10000),2)&amp;"元整")</f>
        <v>大写金额：人民币贰拾陆亿捌仟伍佰肆拾陆万元整</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3781</v>
      </c>
      <c r="D35" s="1386" t="s">
        <v>1692</v>
      </c>
      <c r="E35" s="3420"/>
      <c r="F35" s="301" t="s">
        <v>342</v>
      </c>
      <c r="G35" s="981"/>
      <c r="H35" s="980" t="s">
        <v>343</v>
      </c>
      <c r="I35" s="311"/>
      <c r="J35" s="2013"/>
      <c r="K35" s="3393" t="s">
        <v>350</v>
      </c>
      <c r="L35" s="3393" t="s">
        <v>351</v>
      </c>
      <c r="M35" s="1259" t="s">
        <v>352</v>
      </c>
      <c r="N35" s="3393" t="s">
        <v>353</v>
      </c>
      <c r="O35" s="3393" t="s">
        <v>354</v>
      </c>
      <c r="P35" s="2013"/>
      <c r="V35" s="2013"/>
    </row>
    <row r="36" spans="1:26" ht="16.5" customHeight="1">
      <c r="A36" s="303" t="s">
        <v>344</v>
      </c>
      <c r="B36" s="304" t="s">
        <v>333</v>
      </c>
      <c r="C36" s="305" t="s">
        <v>345</v>
      </c>
      <c r="D36" s="305" t="s">
        <v>346</v>
      </c>
      <c r="E36" s="306" t="s">
        <v>347</v>
      </c>
      <c r="F36" s="311"/>
      <c r="G36" s="311"/>
      <c r="H36" s="311"/>
      <c r="I36" s="311"/>
      <c r="J36" s="2015"/>
      <c r="K36" s="3394"/>
      <c r="L36" s="3394"/>
      <c r="M36" s="1261" t="s">
        <v>355</v>
      </c>
      <c r="N36" s="3394"/>
      <c r="O36" s="3394"/>
      <c r="P36" s="2013"/>
      <c r="V36" s="2013"/>
    </row>
    <row r="37" spans="1:26" ht="16.5" customHeight="1" thickBot="1">
      <c r="A37" s="1255" t="s">
        <v>348</v>
      </c>
      <c r="B37" s="307"/>
      <c r="C37" s="294"/>
      <c r="D37" s="294"/>
      <c r="E37" s="295"/>
      <c r="F37" s="311"/>
      <c r="G37" s="311"/>
      <c r="H37" s="311"/>
      <c r="I37" s="311"/>
      <c r="J37" s="2015"/>
      <c r="K37" s="3395"/>
      <c r="L37" s="3395"/>
      <c r="M37" s="1262"/>
      <c r="N37" s="3395"/>
      <c r="O37" s="3395"/>
      <c r="P37" s="2013"/>
      <c r="V37" s="2013"/>
    </row>
    <row r="38" spans="1:26" ht="16.5" customHeight="1" thickBot="1">
      <c r="A38" s="1255" t="s">
        <v>349</v>
      </c>
      <c r="B38" s="307"/>
      <c r="C38" s="294"/>
      <c r="D38" s="294"/>
      <c r="E38" s="295"/>
      <c r="F38" s="311"/>
      <c r="G38" s="311"/>
      <c r="H38" s="311"/>
      <c r="I38" s="311"/>
      <c r="J38" s="2015"/>
      <c r="K38" s="1263">
        <f>'数据-汇总表'!D3</f>
        <v>77285.8</v>
      </c>
      <c r="L38" s="1264">
        <f>'数据-汇总表'!E3</f>
        <v>240271.90000000002</v>
      </c>
      <c r="M38" s="1264">
        <f ca="1">C34</f>
        <v>56722</v>
      </c>
      <c r="N38" s="1264">
        <f ca="1">C33</f>
        <v>18245</v>
      </c>
      <c r="O38" s="1265">
        <f ca="1">C32</f>
        <v>438377</v>
      </c>
      <c r="P38" s="2013"/>
      <c r="V38" s="2013"/>
    </row>
    <row r="39" spans="1:26" ht="16.5" customHeight="1" thickBot="1">
      <c r="A39" s="1260"/>
      <c r="B39" s="308"/>
      <c r="C39" s="309"/>
      <c r="D39" s="309"/>
      <c r="E39" s="310"/>
      <c r="F39" s="311"/>
      <c r="G39" s="311"/>
      <c r="H39" s="311"/>
      <c r="I39" s="311"/>
      <c r="J39" s="2015"/>
      <c r="K39" s="3438" t="str">
        <f>MID(A44,3,LEN(A44)-2)</f>
        <v>抵押价格</v>
      </c>
      <c r="L39" s="3439"/>
      <c r="M39" s="3439"/>
      <c r="N39" s="3440"/>
      <c r="O39" s="1388">
        <f ca="1">C44</f>
        <v>438377</v>
      </c>
      <c r="P39" s="2013"/>
      <c r="V39" s="2013"/>
    </row>
    <row r="40" spans="1:26" ht="19.5" thickBot="1">
      <c r="A40" s="104" t="s">
        <v>872</v>
      </c>
      <c r="B40" s="311"/>
      <c r="C40" s="311"/>
      <c r="D40" s="311"/>
      <c r="E40" s="311"/>
      <c r="F40" s="311"/>
      <c r="G40" s="311"/>
      <c r="H40" s="311"/>
      <c r="I40" s="311"/>
      <c r="J40" s="2015"/>
      <c r="K40" s="3438" t="str">
        <f t="shared" ref="K40:K41" si="0">MID(A45,3,LEN(A45)-2)</f>
        <v/>
      </c>
      <c r="L40" s="3439"/>
      <c r="M40" s="3439"/>
      <c r="N40" s="3440"/>
      <c r="O40" s="1388" t="str">
        <f>C45</f>
        <v>——</v>
      </c>
      <c r="P40" s="2013"/>
      <c r="V40" s="2013"/>
    </row>
    <row r="41" spans="1:26" ht="16.5" thickBot="1">
      <c r="A41" s="312" t="s">
        <v>356</v>
      </c>
      <c r="B41" s="313"/>
      <c r="C41" s="314" t="s">
        <v>357</v>
      </c>
      <c r="D41" s="315" t="s">
        <v>358</v>
      </c>
      <c r="E41" s="315" t="s">
        <v>359</v>
      </c>
      <c r="F41" s="316" t="s">
        <v>360</v>
      </c>
      <c r="G41" s="311"/>
      <c r="H41" s="311"/>
      <c r="I41" s="311"/>
      <c r="J41" s="2015"/>
      <c r="K41" s="3438" t="str">
        <f t="shared" si="0"/>
        <v>抵押净值</v>
      </c>
      <c r="L41" s="3439"/>
      <c r="M41" s="3439"/>
      <c r="N41" s="3440"/>
      <c r="O41" s="1388">
        <f ca="1">C46</f>
        <v>268546</v>
      </c>
      <c r="P41" s="2013"/>
      <c r="V41" s="2013"/>
    </row>
    <row r="42" spans="1:26" ht="29.25">
      <c r="A42" s="3380" t="s">
        <v>2063</v>
      </c>
      <c r="B42" s="3381"/>
      <c r="C42" s="264">
        <f ca="1">C32</f>
        <v>438377</v>
      </c>
      <c r="D42" s="317">
        <f ca="1">C33</f>
        <v>18245</v>
      </c>
      <c r="E42" s="317">
        <f ca="1">C34</f>
        <v>56722</v>
      </c>
      <c r="F42" s="318">
        <f ca="1">C35</f>
        <v>3781</v>
      </c>
      <c r="G42" s="311"/>
      <c r="H42" s="311"/>
      <c r="I42" s="319"/>
      <c r="J42" s="2015"/>
      <c r="K42" s="1266" t="s">
        <v>361</v>
      </c>
      <c r="L42" s="2032" t="s">
        <v>362</v>
      </c>
      <c r="M42" s="1267" t="s">
        <v>363</v>
      </c>
      <c r="N42" s="2033" t="s">
        <v>364</v>
      </c>
      <c r="O42" s="2034" t="s">
        <v>365</v>
      </c>
      <c r="P42" s="2013"/>
      <c r="V42" s="2013"/>
    </row>
    <row r="43" spans="1:26" ht="30">
      <c r="A43" s="3391" t="s">
        <v>2723</v>
      </c>
      <c r="B43" s="3392"/>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450758</v>
      </c>
      <c r="M43" s="1270">
        <f>C18</f>
        <v>0.5</v>
      </c>
      <c r="N43" s="1271">
        <f ca="1">IF(N42="测算结果/万元",G19,G20)</f>
        <v>438377</v>
      </c>
      <c r="O43" s="1272">
        <f ca="1">IF(O42="最终结果/万元",C32,C33)</f>
        <v>438377</v>
      </c>
      <c r="P43" s="2013"/>
      <c r="V43" s="2013"/>
    </row>
    <row r="44" spans="1:26" ht="30.75" thickBot="1">
      <c r="A44" s="3380" t="str">
        <f>IF(OR(项目基本情况!E8="抵押价格",项目基本情况!E8="已注销及未注销"),"3.抵押价格","——")</f>
        <v>3.抵押价格</v>
      </c>
      <c r="B44" s="3381"/>
      <c r="C44" s="264">
        <f ca="1">IF(A44="——","——",C42-C43)</f>
        <v>438377</v>
      </c>
      <c r="D44" s="317">
        <f ca="1">ROUND(C44*10000/'数据-汇总表'!E3,0)</f>
        <v>18245</v>
      </c>
      <c r="E44" s="317">
        <f ca="1">ROUND(C44*10000/'数据-汇总表'!D3,0)</f>
        <v>56722</v>
      </c>
      <c r="F44" s="318">
        <f ca="1">ROUND(C44/('数据-汇总表'!D3/666.67),0)</f>
        <v>3781</v>
      </c>
      <c r="G44" s="311"/>
      <c r="H44" s="311"/>
      <c r="I44" s="319"/>
      <c r="J44" s="2015"/>
      <c r="K44" s="1273" t="str">
        <f>D4</f>
        <v>剩余法-待开发</v>
      </c>
      <c r="L44" s="1274">
        <f ca="1">IF(L42="估价结果/万元",D19,D20)</f>
        <v>425995</v>
      </c>
      <c r="M44" s="1275">
        <f>D18</f>
        <v>0.5</v>
      </c>
      <c r="N44" s="1276"/>
      <c r="O44" s="1277"/>
      <c r="P44" s="2013"/>
      <c r="V44" s="2013"/>
    </row>
    <row r="45" spans="1:26" ht="15">
      <c r="A45" s="3386" t="str">
        <f>IF(项目基本情况!E8="已注销及未注销","4.抵押担保权已注销时的抵押价格",IF(项目基本情况!E8="已注销","3.抵押担保权已注销时的抵押价格","——"))</f>
        <v>——</v>
      </c>
      <c r="B45" s="338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82" t="str">
        <f>IF(项目基本情况!E9="抵押净值",IF(A45="——","4.抵押净值","5.抵押净值"),"——")</f>
        <v>4.抵押净值</v>
      </c>
      <c r="B46" s="3383"/>
      <c r="C46" s="320">
        <f ca="1">IF(A46="——","——",O79)</f>
        <v>268546</v>
      </c>
      <c r="D46" s="317">
        <f ca="1">ROUND(C46*10000/'数据-汇总表'!E3,0)</f>
        <v>11177</v>
      </c>
      <c r="E46" s="317">
        <f ca="1">ROUND(C46*10000/'数据-汇总表'!D3,0)</f>
        <v>34747</v>
      </c>
      <c r="F46" s="318">
        <f ca="1">ROUND(C46/('数据-汇总表'!D3/666.67),0)</f>
        <v>2316</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427" t="s">
        <v>374</v>
      </c>
      <c r="B63" s="3428"/>
      <c r="C63" s="3429"/>
      <c r="D63" s="341">
        <f ca="1">ROUND(C42*F63,0)</f>
        <v>438377</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88" t="s">
        <v>378</v>
      </c>
      <c r="B64" s="3389"/>
      <c r="C64" s="3389"/>
      <c r="D64" s="3389"/>
      <c r="E64" s="3389"/>
      <c r="F64" s="3389"/>
      <c r="G64" s="3390"/>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84" t="s">
        <v>386</v>
      </c>
      <c r="B66" s="3385"/>
      <c r="C66" s="3385"/>
      <c r="D66" s="261">
        <f ca="1">IF(H66="情况1",0,IF(H66="情况2",D70,IF(H66="情况3",D71,IF(H66="情况4",D72))))</f>
        <v>23380</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442" t="s">
        <v>385</v>
      </c>
      <c r="M66" s="3443"/>
      <c r="N66" s="2422"/>
      <c r="O66" s="2423"/>
      <c r="P66" s="2424"/>
      <c r="Q66" s="2013"/>
      <c r="R66" s="2013"/>
      <c r="S66" s="2013"/>
      <c r="T66" s="2013"/>
      <c r="U66" s="2013"/>
      <c r="V66" s="2013"/>
    </row>
    <row r="67" spans="1:22" ht="25.5" customHeight="1">
      <c r="A67" s="352" t="s">
        <v>390</v>
      </c>
      <c r="B67" s="3375" t="s">
        <v>391</v>
      </c>
      <c r="C67" s="3375"/>
      <c r="D67" s="353">
        <v>0</v>
      </c>
      <c r="E67" s="41" t="s">
        <v>392</v>
      </c>
      <c r="F67" s="62" t="s">
        <v>21</v>
      </c>
      <c r="G67" s="3430"/>
      <c r="H67" s="311"/>
      <c r="I67" s="1287"/>
      <c r="J67" s="2020"/>
      <c r="K67" s="1961">
        <v>2</v>
      </c>
      <c r="L67" s="3441" t="s">
        <v>389</v>
      </c>
      <c r="M67" s="3441"/>
      <c r="N67" s="1320">
        <f>'数据-取费表'!B2</f>
        <v>43629</v>
      </c>
      <c r="O67" s="1320"/>
      <c r="P67" s="1320"/>
      <c r="Q67" s="2013"/>
      <c r="R67" s="2013"/>
      <c r="S67" s="2013"/>
      <c r="T67" s="2013"/>
      <c r="U67" s="2013"/>
      <c r="V67" s="2013"/>
    </row>
    <row r="68" spans="1:22" ht="25.5" customHeight="1">
      <c r="A68" s="354"/>
      <c r="B68" s="3375" t="s">
        <v>394</v>
      </c>
      <c r="C68" s="3375"/>
      <c r="D68" s="355"/>
      <c r="E68" s="77"/>
      <c r="F68" s="356"/>
      <c r="G68" s="3431"/>
      <c r="H68" s="311"/>
      <c r="I68" s="1287"/>
      <c r="J68" s="2020"/>
      <c r="K68" s="1961">
        <v>3</v>
      </c>
      <c r="L68" s="3441" t="s">
        <v>393</v>
      </c>
      <c r="M68" s="3441"/>
      <c r="N68" s="1288">
        <f ca="1">C42</f>
        <v>438377</v>
      </c>
      <c r="O68" s="1288"/>
      <c r="P68" s="1288"/>
      <c r="Q68" s="2013"/>
      <c r="R68" s="2013"/>
      <c r="S68" s="2013"/>
      <c r="T68" s="2013"/>
      <c r="U68" s="2013"/>
      <c r="V68" s="2013"/>
    </row>
    <row r="69" spans="1:22" ht="12" customHeight="1">
      <c r="A69" s="357"/>
      <c r="B69" s="3375" t="s">
        <v>395</v>
      </c>
      <c r="C69" s="3375"/>
      <c r="D69" s="358"/>
      <c r="E69" s="73"/>
      <c r="F69" s="356"/>
      <c r="G69" s="3432"/>
      <c r="H69" s="311"/>
      <c r="I69" s="1287"/>
      <c r="J69" s="2020"/>
      <c r="K69" s="1289">
        <v>4</v>
      </c>
      <c r="L69" s="3446" t="s">
        <v>2876</v>
      </c>
      <c r="M69" s="3447"/>
      <c r="N69" s="1290">
        <f ca="1">C44</f>
        <v>438377</v>
      </c>
      <c r="O69" s="1290"/>
      <c r="P69" s="1290"/>
      <c r="Q69" s="2013"/>
      <c r="R69" s="2013"/>
      <c r="S69" s="2013"/>
      <c r="T69" s="2013"/>
      <c r="U69" s="2013"/>
      <c r="V69" s="2013"/>
    </row>
    <row r="70" spans="1:22" ht="24" customHeight="1">
      <c r="A70" s="359" t="s">
        <v>396</v>
      </c>
      <c r="B70" s="3375" t="s">
        <v>397</v>
      </c>
      <c r="C70" s="3375"/>
      <c r="D70" s="358">
        <f ca="1">ROUND(D63*'数据-取费表'!B41/(1+'数据-取费表'!C42),0)</f>
        <v>23380</v>
      </c>
      <c r="E70" s="17" t="s">
        <v>398</v>
      </c>
      <c r="F70" s="360">
        <f>'数据-取费表'!B41</f>
        <v>5.6000000000000001E-2</v>
      </c>
      <c r="G70" s="361"/>
      <c r="H70" s="311"/>
      <c r="I70" s="1287"/>
      <c r="J70" s="2020"/>
      <c r="K70" s="3012"/>
      <c r="L70" s="3013"/>
      <c r="M70" s="3013"/>
      <c r="N70" s="3014" t="s">
        <v>2880</v>
      </c>
      <c r="O70" s="3013"/>
      <c r="P70" s="3015"/>
      <c r="Q70" s="2013"/>
      <c r="R70" s="2013"/>
      <c r="S70" s="2013"/>
      <c r="T70" s="2013"/>
      <c r="U70" s="2013"/>
      <c r="V70" s="2013"/>
    </row>
    <row r="71" spans="1:22" ht="12" customHeight="1">
      <c r="A71" s="359" t="s">
        <v>404</v>
      </c>
      <c r="B71" s="3376" t="s">
        <v>405</v>
      </c>
      <c r="C71" s="3377"/>
      <c r="D71" s="358">
        <f ca="1">ROUND(D63*'数据-取费表'!B41/(1+'数据-取费表'!C42),0)</f>
        <v>23380</v>
      </c>
      <c r="E71" s="17" t="s">
        <v>398</v>
      </c>
      <c r="F71" s="360">
        <f>'数据-取费表'!B41</f>
        <v>5.6000000000000001E-2</v>
      </c>
      <c r="G71" s="361"/>
      <c r="H71" s="311"/>
      <c r="I71" s="1287"/>
      <c r="J71" s="2020"/>
      <c r="K71" s="3011" t="s">
        <v>399</v>
      </c>
      <c r="L71" s="3448" t="s">
        <v>400</v>
      </c>
      <c r="M71" s="3448"/>
      <c r="N71" s="3011" t="s">
        <v>401</v>
      </c>
      <c r="O71" s="3011" t="s">
        <v>402</v>
      </c>
      <c r="P71" s="3011" t="s">
        <v>403</v>
      </c>
      <c r="Q71" s="2013"/>
      <c r="R71" s="2013"/>
      <c r="S71" s="2013"/>
      <c r="T71" s="2013"/>
      <c r="U71" s="2013"/>
      <c r="V71" s="2013"/>
    </row>
    <row r="72" spans="1:22" ht="12" customHeight="1">
      <c r="A72" s="359" t="s">
        <v>407</v>
      </c>
      <c r="B72" s="3376" t="s">
        <v>408</v>
      </c>
      <c r="C72" s="3377"/>
      <c r="D72" s="358">
        <f ca="1">C86</f>
        <v>23268</v>
      </c>
      <c r="E72" s="73" t="s">
        <v>409</v>
      </c>
      <c r="F72" s="360">
        <f>'数据-取费表'!B41</f>
        <v>5.6000000000000001E-2</v>
      </c>
      <c r="G72" s="361"/>
      <c r="H72" s="1293"/>
      <c r="I72" s="1287"/>
      <c r="J72" s="2020"/>
      <c r="K72" s="1961">
        <v>1</v>
      </c>
      <c r="L72" s="3423" t="s">
        <v>406</v>
      </c>
      <c r="M72" s="3423"/>
      <c r="N72" s="1291">
        <f ca="1">D66</f>
        <v>23380</v>
      </c>
      <c r="O72" s="1844" t="str">
        <f>E66</f>
        <v>销售额×税（费）率</v>
      </c>
      <c r="P72" s="1292">
        <f>F66</f>
        <v>5.6000000000000001E-2</v>
      </c>
      <c r="Q72" s="2013"/>
      <c r="R72" s="2013"/>
      <c r="S72" s="2013"/>
      <c r="T72" s="2013"/>
      <c r="U72" s="2013"/>
      <c r="V72" s="2013"/>
    </row>
    <row r="73" spans="1:22" ht="24" customHeight="1">
      <c r="A73" s="3417" t="s">
        <v>411</v>
      </c>
      <c r="B73" s="3385"/>
      <c r="C73" s="3385"/>
      <c r="D73" s="362">
        <f ca="1">IF(H73="个人住宅",0,ROUND(D63*I73,0))</f>
        <v>219</v>
      </c>
      <c r="E73" s="17" t="s">
        <v>412</v>
      </c>
      <c r="F73" s="360">
        <f>IF(H73="正常",I73,"免征")</f>
        <v>5.0000000000000001E-4</v>
      </c>
      <c r="G73" s="361"/>
      <c r="H73" s="191" t="s">
        <v>3566</v>
      </c>
      <c r="I73" s="360">
        <f>'数据-取费表'!B49</f>
        <v>5.0000000000000001E-4</v>
      </c>
      <c r="J73" s="2020"/>
      <c r="K73" s="1961">
        <v>2</v>
      </c>
      <c r="L73" s="3423" t="s">
        <v>410</v>
      </c>
      <c r="M73" s="3423"/>
      <c r="N73" s="1291">
        <f t="shared" ref="N73:P74" ca="1" si="1">D73</f>
        <v>219</v>
      </c>
      <c r="O73" s="1844" t="str">
        <f t="shared" si="1"/>
        <v>销售额×税（费）率</v>
      </c>
      <c r="P73" s="1292">
        <f t="shared" si="1"/>
        <v>5.0000000000000001E-4</v>
      </c>
      <c r="Q73" s="2013"/>
      <c r="R73" s="2013"/>
      <c r="S73" s="2013"/>
      <c r="T73" s="2013"/>
      <c r="U73" s="2013"/>
      <c r="V73" s="2013"/>
    </row>
    <row r="74" spans="1:22" ht="24.75">
      <c r="A74" s="3417" t="s">
        <v>415</v>
      </c>
      <c r="B74" s="3385"/>
      <c r="C74" s="3385"/>
      <c r="D74" s="362">
        <f ca="1">IF(H74="个人住宅",D75,D76)</f>
        <v>146232</v>
      </c>
      <c r="E74" s="17" t="s">
        <v>416</v>
      </c>
      <c r="F74" s="360" t="str">
        <f>IF(H74="正常",F76,"免征")</f>
        <v>——</v>
      </c>
      <c r="G74" s="982" t="s">
        <v>417</v>
      </c>
      <c r="H74" s="363" t="s">
        <v>413</v>
      </c>
      <c r="I74" s="42"/>
      <c r="J74" s="2020"/>
      <c r="K74" s="1961">
        <v>3</v>
      </c>
      <c r="L74" s="3423" t="s">
        <v>414</v>
      </c>
      <c r="M74" s="3423"/>
      <c r="N74" s="1291">
        <f t="shared" ca="1" si="1"/>
        <v>146232</v>
      </c>
      <c r="O74" s="1844" t="str">
        <f t="shared" si="1"/>
        <v>增值额×税（费）率</v>
      </c>
      <c r="P74" s="1294" t="str">
        <f t="shared" si="1"/>
        <v>——</v>
      </c>
      <c r="Q74" s="2013"/>
      <c r="R74" s="2013"/>
      <c r="S74" s="2013"/>
      <c r="T74" s="2013"/>
      <c r="U74" s="2013"/>
      <c r="V74" s="2013"/>
    </row>
    <row r="75" spans="1:22" ht="12.75">
      <c r="A75" s="359" t="s">
        <v>418</v>
      </c>
      <c r="B75" s="3373" t="s">
        <v>419</v>
      </c>
      <c r="C75" s="3403"/>
      <c r="D75" s="364">
        <v>0</v>
      </c>
      <c r="E75" s="41" t="s">
        <v>420</v>
      </c>
      <c r="F75" s="365"/>
      <c r="G75" s="361"/>
      <c r="H75" s="42"/>
      <c r="I75" s="42"/>
      <c r="J75" s="2020"/>
      <c r="K75" s="3004" t="str">
        <f>IF(H77="非个人房产","",4)</f>
        <v/>
      </c>
      <c r="L75" s="3423" t="str">
        <f>IF(H77="非个人房产","——","个人所得税")</f>
        <v>——</v>
      </c>
      <c r="M75" s="3423"/>
      <c r="N75" s="1295" t="str">
        <f>D77</f>
        <v>——</v>
      </c>
      <c r="O75" s="1857" t="str">
        <f>E77</f>
        <v>——</v>
      </c>
      <c r="P75" s="1296" t="str">
        <f>F77</f>
        <v>——</v>
      </c>
      <c r="Q75" s="2013"/>
      <c r="R75" s="2013"/>
      <c r="S75" s="2013"/>
      <c r="T75" s="2013"/>
      <c r="U75" s="2013"/>
      <c r="V75" s="2013"/>
    </row>
    <row r="76" spans="1:22" ht="24.75">
      <c r="A76" s="359" t="s">
        <v>396</v>
      </c>
      <c r="B76" s="3373" t="s">
        <v>422</v>
      </c>
      <c r="C76" s="3374"/>
      <c r="D76" s="362">
        <f ca="1">IF(H76="转让取得",C99,C115)</f>
        <v>146232</v>
      </c>
      <c r="E76" s="17" t="s">
        <v>423</v>
      </c>
      <c r="F76" s="53" t="s">
        <v>21</v>
      </c>
      <c r="G76" s="361"/>
      <c r="H76" s="363" t="s">
        <v>424</v>
      </c>
      <c r="I76" s="42"/>
      <c r="J76" s="2020"/>
      <c r="K76" s="3004" t="str">
        <f>IF(项目基本情况!K6="上海银行",IF(K75="",4,K75+1),"")</f>
        <v/>
      </c>
      <c r="L76" s="3434" t="str">
        <f>IF(项目基本情况!K6="上海银行","其他处置费用","")</f>
        <v/>
      </c>
      <c r="M76" s="3435"/>
      <c r="N76" s="1291" t="str">
        <f>IF(项目基本情况!K6="上海银行",N89,"")</f>
        <v/>
      </c>
      <c r="O76" s="3436" t="str">
        <f>IF(项目基本情况!K6="上海银行","包含处置中涉及的律师、诉讼、拍卖、评估等费用","")</f>
        <v/>
      </c>
      <c r="P76" s="3437"/>
      <c r="Q76" s="2013"/>
      <c r="R76" s="2013"/>
      <c r="S76" s="2013"/>
      <c r="T76" s="2013"/>
      <c r="U76" s="2013"/>
      <c r="V76" s="2013"/>
    </row>
    <row r="77" spans="1:22" ht="24.75" thickBot="1">
      <c r="A77" s="3425" t="s">
        <v>426</v>
      </c>
      <c r="B77" s="3426"/>
      <c r="C77" s="3426"/>
      <c r="D77" s="366" t="str">
        <f>IF(H77="非个人房产","——",IF(H77="个人住宅",0,ROUND(D63*I77,0)))</f>
        <v>——</v>
      </c>
      <c r="E77" s="367" t="str">
        <f>IF(H77="非个人房产","——","销售额×税（费）率")</f>
        <v>——</v>
      </c>
      <c r="F77" s="368" t="str">
        <f>IF(H77="非个人房产","——",IF(H77="个人住宅","免征",I77))</f>
        <v>——</v>
      </c>
      <c r="G77" s="983" t="s">
        <v>417</v>
      </c>
      <c r="H77" s="363" t="s">
        <v>3567</v>
      </c>
      <c r="I77" s="369">
        <v>0.01</v>
      </c>
      <c r="J77" s="2020"/>
      <c r="K77" s="3424">
        <f>IF(AND(K75="",K76=""),4,IF(项目基本情况!K6="上海银行",K76+1,K75+1))</f>
        <v>4</v>
      </c>
      <c r="L77" s="3423" t="s">
        <v>2877</v>
      </c>
      <c r="M77" s="3010" t="s">
        <v>421</v>
      </c>
      <c r="N77" s="1297"/>
      <c r="O77" s="1298">
        <f ca="1">SUMIF(N72:N76,"&lt;9e307")</f>
        <v>169831</v>
      </c>
      <c r="P77" s="1299"/>
      <c r="Q77" s="3008">
        <f ca="1">O77/N69</f>
        <v>0.38740855473713265</v>
      </c>
      <c r="R77" s="2013"/>
      <c r="S77" s="2013"/>
      <c r="T77" s="2013"/>
      <c r="U77" s="2013"/>
      <c r="V77" s="2013"/>
    </row>
    <row r="78" spans="1:22" ht="12" customHeight="1">
      <c r="A78" s="1300"/>
      <c r="B78" s="311"/>
      <c r="C78" s="311"/>
      <c r="D78" s="311"/>
      <c r="E78" s="42"/>
      <c r="F78" s="42"/>
      <c r="G78" s="42"/>
      <c r="H78" s="1002"/>
      <c r="I78" s="311"/>
      <c r="J78" s="2020"/>
      <c r="K78" s="3424"/>
      <c r="L78" s="3423"/>
      <c r="M78" s="3010" t="s">
        <v>425</v>
      </c>
      <c r="N78" s="1297"/>
      <c r="O78" s="1298" t="str">
        <f ca="1">NUMBERSTRING(INT(O77*10000),2)&amp;"元整"</f>
        <v>壹拾陆亿玖仟捌佰叁拾壹万元整</v>
      </c>
      <c r="P78" s="1299"/>
      <c r="Q78" s="2013"/>
      <c r="R78" s="2013"/>
      <c r="S78" s="2013"/>
      <c r="T78" s="2013"/>
      <c r="U78" s="2013"/>
      <c r="V78" s="2013"/>
    </row>
    <row r="79" spans="1:22" ht="13.5" thickBot="1">
      <c r="A79" s="3418" t="s">
        <v>427</v>
      </c>
      <c r="B79" s="3418"/>
      <c r="C79" s="3418"/>
      <c r="D79" s="3418"/>
      <c r="E79" s="3418"/>
      <c r="F79" s="42"/>
      <c r="G79" s="42"/>
      <c r="H79" s="1002"/>
      <c r="I79" s="311"/>
      <c r="J79" s="2020"/>
      <c r="K79" s="3444">
        <f>K77+1</f>
        <v>5</v>
      </c>
      <c r="L79" s="3423" t="s">
        <v>2878</v>
      </c>
      <c r="M79" s="3010" t="s">
        <v>421</v>
      </c>
      <c r="N79" s="1297"/>
      <c r="O79" s="1298">
        <f ca="1">N69-O77</f>
        <v>268546</v>
      </c>
      <c r="P79" s="1299"/>
      <c r="Q79" s="2013"/>
      <c r="R79" s="2013"/>
      <c r="S79" s="2013"/>
      <c r="T79" s="2013"/>
      <c r="U79" s="2013"/>
      <c r="V79" s="2013"/>
    </row>
    <row r="80" spans="1:22" ht="25.5">
      <c r="A80" s="3413" t="s">
        <v>428</v>
      </c>
      <c r="B80" s="3414"/>
      <c r="C80" s="993"/>
      <c r="D80" s="993" t="s">
        <v>429</v>
      </c>
      <c r="E80" s="370" t="s">
        <v>430</v>
      </c>
      <c r="F80" s="42"/>
      <c r="G80" s="42"/>
      <c r="H80" s="1002"/>
      <c r="I80" s="311"/>
      <c r="J80" s="2013"/>
      <c r="K80" s="3445"/>
      <c r="L80" s="3423"/>
      <c r="M80" s="3010" t="s">
        <v>425</v>
      </c>
      <c r="N80" s="1297"/>
      <c r="O80" s="1298" t="str">
        <f ca="1">NUMBERSTRING(INT(O79*10000),2)&amp;"元整"</f>
        <v>贰拾陆亿捌仟伍佰肆拾陆万元整</v>
      </c>
      <c r="P80" s="1299"/>
      <c r="Q80" s="2013"/>
      <c r="R80" s="2013"/>
      <c r="S80" s="2013"/>
      <c r="T80" s="2013"/>
      <c r="U80" s="2013"/>
      <c r="V80" s="2013"/>
    </row>
    <row r="81" spans="1:26" ht="13.5" thickBot="1">
      <c r="A81" s="381" t="s">
        <v>1822</v>
      </c>
      <c r="B81" s="371" t="s">
        <v>431</v>
      </c>
      <c r="C81" s="372">
        <f ca="1">ROUND((C82+C83)/(1+'数据-取费表'!C42),0)</f>
        <v>417502</v>
      </c>
      <c r="D81" s="373"/>
      <c r="E81" s="374"/>
      <c r="F81" s="42"/>
      <c r="G81" s="42"/>
      <c r="H81" s="1002"/>
      <c r="I81" s="311"/>
      <c r="J81" s="2013"/>
      <c r="K81" s="3004">
        <f>K79+1</f>
        <v>6</v>
      </c>
      <c r="L81" s="3421" t="s">
        <v>2879</v>
      </c>
      <c r="M81" s="3422"/>
      <c r="N81" s="1301"/>
      <c r="O81" s="1302">
        <f ca="1">ROUND(O79*10000/'数据-汇总表'!E3,0)</f>
        <v>11177</v>
      </c>
      <c r="P81" s="1303"/>
      <c r="Q81" s="2013"/>
      <c r="R81" s="2013"/>
      <c r="S81" s="2013"/>
      <c r="T81" s="2013"/>
      <c r="U81" s="2013"/>
      <c r="V81" s="2013"/>
    </row>
    <row r="82" spans="1:26" ht="13.5" hidden="1" thickTop="1">
      <c r="A82" s="375" t="s">
        <v>1823</v>
      </c>
      <c r="B82" s="376" t="s">
        <v>432</v>
      </c>
      <c r="C82" s="377">
        <f ca="1">D63</f>
        <v>438377</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hidden="1">
      <c r="A83" s="375" t="s">
        <v>1824</v>
      </c>
      <c r="B83" s="376" t="s">
        <v>433</v>
      </c>
      <c r="C83" s="380">
        <v>0</v>
      </c>
      <c r="D83" s="378"/>
      <c r="E83" s="379"/>
      <c r="F83" s="42"/>
      <c r="G83" s="42"/>
      <c r="H83" s="1002"/>
      <c r="I83" s="311"/>
      <c r="J83" s="2013"/>
      <c r="K83" s="3433" t="s">
        <v>2867</v>
      </c>
      <c r="L83" s="3016" t="s">
        <v>2868</v>
      </c>
      <c r="M83" s="3006">
        <f ca="1">IF(N69&gt;10000,N69*0.5%,IF(AND(N69&gt;1000,N69&lt;=10000),N69*1%,IF(AND(N69&gt;100,N69&lt;=1000),N69*3%,IF(AND(N69&gt;10,N69&lt;=100),N69*5%,N69*8%))))</f>
        <v>2191.8850000000002</v>
      </c>
      <c r="N83" s="53">
        <f ca="1">ROUND(M83,1)</f>
        <v>2191.9</v>
      </c>
      <c r="O83" s="3009"/>
      <c r="P83" s="2013"/>
      <c r="Q83" s="2013"/>
      <c r="R83" s="2013"/>
      <c r="S83" s="2013"/>
      <c r="T83" s="2013"/>
      <c r="U83" s="2013"/>
      <c r="V83" s="2013"/>
    </row>
    <row r="84" spans="1:26" ht="12.75" hidden="1">
      <c r="A84" s="381" t="s">
        <v>1825</v>
      </c>
      <c r="B84" s="382" t="s">
        <v>434</v>
      </c>
      <c r="C84" s="383">
        <v>2000</v>
      </c>
      <c r="D84" s="384" t="s">
        <v>19</v>
      </c>
      <c r="E84" s="3049" t="s">
        <v>2927</v>
      </c>
      <c r="F84" s="42"/>
      <c r="G84" s="42"/>
      <c r="H84" s="1002"/>
      <c r="I84" s="311"/>
      <c r="J84" s="2013"/>
      <c r="K84" s="3433"/>
      <c r="L84" s="3016" t="s">
        <v>2869</v>
      </c>
      <c r="M84" s="3006">
        <f ca="1">IF(N69&gt;2000,N69*0.5%,IF(AND(N69&gt;1000,N69&lt;=2000),N69*0.6%,IF(AND(N69&gt;500,N69&lt;=1000),N69*0.7%,IF(AND(N69&gt;200,N69&lt;=500),N69*0.8%,IF(AND(N69&gt;100,N69&lt;=200),N69*0.9%,IF(AND(N69&gt;50,N69&lt;=100),N69*1%,IF(AND(N69&gt;20,N69&lt;=50),N69*1.5%,IF(AND(N69&gt;10,N69&lt;=20),N69*2%,IF(AND(N69&gt;1,N69&lt;=10),N69*2.5%)))))))))</f>
        <v>2191.8850000000002</v>
      </c>
      <c r="N84" s="53">
        <f t="shared" ref="N84:N85" ca="1" si="2">ROUND(M84,1)</f>
        <v>2191.9</v>
      </c>
      <c r="O84" s="2013" t="s">
        <v>2870</v>
      </c>
      <c r="P84" s="2013"/>
      <c r="Q84" s="2013"/>
      <c r="R84" s="2013"/>
      <c r="S84" s="2013"/>
      <c r="T84" s="2013"/>
      <c r="U84" s="2013"/>
      <c r="V84" s="2013"/>
    </row>
    <row r="85" spans="1:26" ht="12.75" hidden="1">
      <c r="A85" s="381" t="s">
        <v>1826</v>
      </c>
      <c r="B85" s="382" t="s">
        <v>435</v>
      </c>
      <c r="C85" s="385">
        <f ca="1">C81-C84</f>
        <v>415502</v>
      </c>
      <c r="D85" s="378" t="s">
        <v>19</v>
      </c>
      <c r="E85" s="379"/>
      <c r="F85" s="42"/>
      <c r="G85" s="42"/>
      <c r="H85" s="1002"/>
      <c r="I85" s="311"/>
      <c r="J85" s="2013"/>
      <c r="K85" s="3433"/>
      <c r="L85" s="3016" t="s">
        <v>2871</v>
      </c>
      <c r="M85" s="3006">
        <f ca="1">IF(N69&gt;1000,N69*0.1%,IF(AND(N69&gt;500,N69&lt;=1000),N69*0.5%,IF(AND(N69&gt;50,N69&lt;=500),N69*1%,IF(AND(N69&gt;1,N69&lt;=50),N69*1.5%))))</f>
        <v>438.37700000000001</v>
      </c>
      <c r="N85" s="53">
        <f t="shared" ca="1" si="2"/>
        <v>438.4</v>
      </c>
      <c r="O85" s="2013" t="s">
        <v>2870</v>
      </c>
      <c r="P85" s="2013"/>
      <c r="Q85" s="2013"/>
      <c r="R85" s="2013"/>
      <c r="S85" s="2013"/>
      <c r="T85" s="2013"/>
      <c r="U85" s="2013"/>
      <c r="V85" s="2013"/>
    </row>
    <row r="86" spans="1:26" ht="13.5" hidden="1" thickBot="1">
      <c r="A86" s="386" t="s">
        <v>1827</v>
      </c>
      <c r="B86" s="387" t="s">
        <v>436</v>
      </c>
      <c r="C86" s="388">
        <f ca="1">IF(C85&lt;=0,0,ROUND(C85*D86,0))</f>
        <v>23268</v>
      </c>
      <c r="D86" s="389">
        <f>'数据-取费表'!B41</f>
        <v>5.6000000000000001E-2</v>
      </c>
      <c r="E86" s="390"/>
      <c r="F86" s="42"/>
      <c r="G86" s="42"/>
      <c r="H86" s="1002"/>
      <c r="I86" s="311"/>
      <c r="J86" s="2013"/>
      <c r="K86" s="3433"/>
      <c r="L86" s="3016" t="s">
        <v>2872</v>
      </c>
      <c r="M86" s="3006">
        <f ca="1">N69*0.5%</f>
        <v>2191.8850000000002</v>
      </c>
      <c r="N86" s="53">
        <f ca="1">IF(M86&gt;0.5,0.5,ROUND(M86,0))</f>
        <v>0.5</v>
      </c>
      <c r="O86" s="2013" t="s">
        <v>2873</v>
      </c>
      <c r="P86" s="2013"/>
      <c r="Q86" s="2013"/>
      <c r="R86" s="2013"/>
      <c r="S86" s="2013"/>
      <c r="T86" s="2013"/>
      <c r="U86" s="2013"/>
      <c r="V86" s="2013"/>
    </row>
    <row r="87" spans="1:26" s="1249" customFormat="1" ht="14.25" hidden="1" customHeight="1">
      <c r="A87" s="1304"/>
      <c r="B87" s="1305"/>
      <c r="C87" s="1306"/>
      <c r="D87" s="1307"/>
      <c r="E87" s="1308"/>
      <c r="F87" s="42"/>
      <c r="G87" s="42"/>
      <c r="H87" s="1002"/>
      <c r="I87" s="311"/>
      <c r="J87" s="2013"/>
      <c r="K87" s="3433"/>
      <c r="L87" s="3016" t="s">
        <v>2874</v>
      </c>
      <c r="M87" s="3006">
        <f ca="1">IF(N69&gt;=10000,(8.25+(N69-10000)*0.01%),IF(AND(N69&gt;=8000,N69&lt;10000),(7.85+(N69-8000)*0.02%),IF(AND(N69&gt;=5000,N69&lt;8000),(6.65+(N69-5000)*0.04%),IF(AND(N69&gt;=2000,N69&lt;5000),(4.25+(PN69-2000)*0.08%),IF(AND(N69&gt;=1000,N69&lt;2000),(2.75+(N69-1000)*0.15%),IF(AND(N69&gt;=100,N69&lt;1000),(0.5+(N69-100)*0.25%),IF(AND(N69&gt;0,N69&lt;100),N69*0.5%)))))))</f>
        <v>51.087700000000005</v>
      </c>
      <c r="N87" s="53">
        <f ca="1">ROUND(M87*0.9,1)</f>
        <v>46</v>
      </c>
      <c r="O87" s="3009"/>
      <c r="P87" s="311"/>
      <c r="Q87" s="2013"/>
      <c r="R87" s="2013"/>
      <c r="S87" s="2013"/>
      <c r="T87" s="2013"/>
      <c r="U87" s="2013"/>
      <c r="V87" s="2013"/>
      <c r="W87" s="292"/>
      <c r="X87" s="292"/>
      <c r="Y87" s="292"/>
      <c r="Z87" s="292"/>
    </row>
    <row r="88" spans="1:26" s="1309" customFormat="1" ht="15" hidden="1" thickBot="1">
      <c r="A88" s="3415" t="s">
        <v>437</v>
      </c>
      <c r="B88" s="3416"/>
      <c r="C88" s="3416"/>
      <c r="D88" s="3416"/>
      <c r="E88" s="3416"/>
      <c r="F88" s="3416"/>
      <c r="G88" s="3416"/>
      <c r="H88" s="3416"/>
      <c r="I88" s="1310"/>
      <c r="J88" s="2021"/>
      <c r="K88" s="3433"/>
      <c r="L88" s="3016" t="s">
        <v>2875</v>
      </c>
      <c r="M88" s="3006">
        <f ca="1">IF(N69&gt;10000,N69*0.5%,IF(AND(N69&gt;5000,N69&lt;=10000),N69*1%,IF(AND(N69&gt;1000,N69&lt;=5000),N69*2%,IF(AND(N69&gt;200,N69&lt;=1000),N69*3%,N69*5%))))</f>
        <v>2191.8850000000002</v>
      </c>
      <c r="N88" s="53">
        <f ca="1">ROUND(M88,1)</f>
        <v>2191.9</v>
      </c>
      <c r="O88" s="3009"/>
      <c r="P88" s="11"/>
      <c r="Q88" s="2018"/>
      <c r="R88" s="2018"/>
      <c r="S88" s="2018"/>
      <c r="T88" s="2018"/>
      <c r="U88" s="2018"/>
      <c r="V88" s="2018"/>
      <c r="W88" s="2022"/>
      <c r="X88" s="2022"/>
      <c r="Y88" s="2022"/>
      <c r="Z88" s="2022"/>
    </row>
    <row r="89" spans="1:26" s="1309" customFormat="1" ht="14.25" hidden="1">
      <c r="A89" s="3413" t="s">
        <v>428</v>
      </c>
      <c r="B89" s="3414"/>
      <c r="C89" s="993"/>
      <c r="D89" s="993" t="s">
        <v>429</v>
      </c>
      <c r="E89" s="391" t="s">
        <v>438</v>
      </c>
      <c r="F89" s="392"/>
      <c r="G89" s="392"/>
      <c r="H89" s="393"/>
      <c r="I89" s="1311"/>
      <c r="J89" s="2023"/>
      <c r="K89" s="3433"/>
      <c r="L89" s="3016" t="s">
        <v>27</v>
      </c>
      <c r="M89" s="3007"/>
      <c r="N89" s="53">
        <f ca="1">ROUND(SUM(N83:N88),0)</f>
        <v>7061</v>
      </c>
      <c r="O89" s="3017">
        <f ca="1">N89/N69</f>
        <v>1.6107140657470626E-2</v>
      </c>
      <c r="P89" s="2018"/>
      <c r="Q89" s="2018"/>
      <c r="R89" s="2018"/>
      <c r="S89" s="2018"/>
      <c r="T89" s="2018"/>
      <c r="U89" s="2018"/>
      <c r="V89" s="2018"/>
      <c r="W89" s="2022"/>
      <c r="X89" s="2022"/>
      <c r="Y89" s="2022"/>
      <c r="Z89" s="2022"/>
    </row>
    <row r="90" spans="1:26" s="1309" customFormat="1" ht="14.25" hidden="1">
      <c r="A90" s="381" t="s">
        <v>1822</v>
      </c>
      <c r="B90" s="382" t="s">
        <v>439</v>
      </c>
      <c r="C90" s="385">
        <f ca="1">ROUND(D63/(1+'数据-取费表'!C42),0)</f>
        <v>417502</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hidden="1">
      <c r="A91" s="381" t="s">
        <v>1828</v>
      </c>
      <c r="B91" s="348" t="s">
        <v>440</v>
      </c>
      <c r="C91" s="385">
        <f ca="1">C92+C96</f>
        <v>100007</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hidden="1">
      <c r="A92" s="395" t="s">
        <v>1829</v>
      </c>
      <c r="B92" s="376" t="s">
        <v>441</v>
      </c>
      <c r="C92" s="378">
        <f>ROUND(IF(G95="2016年5月1日后购买",C93/(1+'数据-取费表'!C30)+C94+C95,C93+C94+C95),0)</f>
        <v>97502</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hidden="1">
      <c r="A93" s="395" t="s">
        <v>1830</v>
      </c>
      <c r="B93" s="376" t="s">
        <v>442</v>
      </c>
      <c r="C93" s="396">
        <f>ROUND(系统读取表!B14/系统读取表!B1*净值计算!C25,0)</f>
        <v>94616</v>
      </c>
      <c r="D93" s="378" t="s">
        <v>19</v>
      </c>
      <c r="E93" s="397" t="s">
        <v>443</v>
      </c>
      <c r="F93" s="398" t="s">
        <v>3568</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hidden="1" customHeight="1">
      <c r="A94" s="395" t="s">
        <v>1831</v>
      </c>
      <c r="B94" s="400" t="s">
        <v>445</v>
      </c>
      <c r="C94" s="378">
        <f>IF(F93="购房发票",ROUND(C93*H93*5%,0),0)</f>
        <v>0</v>
      </c>
      <c r="D94" s="401">
        <v>0.05</v>
      </c>
      <c r="E94" s="3376" t="s">
        <v>446</v>
      </c>
      <c r="F94" s="3375"/>
      <c r="G94" s="3375"/>
      <c r="H94" s="3412"/>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hidden="1" customHeight="1">
      <c r="A95" s="395" t="s">
        <v>1832</v>
      </c>
      <c r="B95" s="376" t="s">
        <v>447</v>
      </c>
      <c r="C95" s="378">
        <f>ROUND(IF(G95="个人买卖住房",0,IF(G95="2016年5月1日前购买",C93*D95,C93*D95/(1+'数据-取费表'!C42))),0)</f>
        <v>2886</v>
      </c>
      <c r="D95" s="402">
        <f>'数据-取费表'!B48+'数据-取费表'!B49</f>
        <v>3.0499999999999999E-2</v>
      </c>
      <c r="E95" s="26" t="s">
        <v>448</v>
      </c>
      <c r="F95" s="403"/>
      <c r="G95" s="404" t="s">
        <v>2423</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hidden="1" customHeight="1">
      <c r="A96" s="395" t="s">
        <v>1833</v>
      </c>
      <c r="B96" s="376" t="s">
        <v>449</v>
      </c>
      <c r="C96" s="405">
        <f ca="1">ROUND(D63*D96/(1+'数据-取费表'!C42),0)</f>
        <v>2505</v>
      </c>
      <c r="D96" s="406">
        <f>'数据-取费表'!B43</f>
        <v>6.000000000000001E-3</v>
      </c>
      <c r="E96" s="3404" t="s">
        <v>2422</v>
      </c>
      <c r="F96" s="3405"/>
      <c r="G96" s="3405"/>
      <c r="H96" s="3406"/>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hidden="1">
      <c r="A97" s="1602" t="s">
        <v>1834</v>
      </c>
      <c r="B97" s="382" t="s">
        <v>450</v>
      </c>
      <c r="C97" s="385">
        <f ca="1">C90-C91</f>
        <v>317495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hidden="1">
      <c r="A98" s="1602" t="s">
        <v>1835</v>
      </c>
      <c r="B98" s="382" t="s">
        <v>451</v>
      </c>
      <c r="C98" s="407">
        <f ca="1">IF(C97&lt;=0,0,C97/C91)</f>
        <v>3.1747277690561662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hidden="1" thickBot="1">
      <c r="A99" s="1603" t="s">
        <v>1836</v>
      </c>
      <c r="B99" s="387" t="s">
        <v>452</v>
      </c>
      <c r="C99" s="408">
        <f ca="1">ROUND(IF(C97&lt;=0,0,IF(C98&gt;=200%,C97*60%-C91*35%,IF(C98&gt;=100%,C97*50%-C91*15%,IF(C98&gt;=50%,C97*40%-C91*5%,IF(C98&lt;50%,C97*30%,0))))),0)</f>
        <v>155495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thickTop="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415" t="s">
        <v>453</v>
      </c>
      <c r="B101" s="3416"/>
      <c r="C101" s="3416"/>
      <c r="D101" s="3416"/>
      <c r="E101" s="3416"/>
      <c r="F101" s="3416"/>
      <c r="G101" s="3416"/>
      <c r="H101" s="341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413" t="s">
        <v>428</v>
      </c>
      <c r="B102" s="3414"/>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417502</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109757</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454</v>
      </c>
      <c r="C105" s="405">
        <f>C106+C107</f>
        <v>97502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455</v>
      </c>
      <c r="C106" s="416">
        <f>ROUND(系统读取表!B14/系统读取表!B1*净值计算!C25,0)</f>
        <v>94616</v>
      </c>
      <c r="D106" s="406"/>
      <c r="E106" s="417" t="s">
        <v>456</v>
      </c>
      <c r="F106" s="985"/>
      <c r="G106" s="418" t="s">
        <v>457</v>
      </c>
      <c r="H106" s="419" t="s">
        <v>2433</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447</v>
      </c>
      <c r="C107" s="405">
        <f>ROUND(C106*D107,0)</f>
        <v>2886</v>
      </c>
      <c r="D107" s="406">
        <f>'数据-取费表'!B48+'数据-取费表'!B49</f>
        <v>3.0499999999999999E-2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459</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407" t="s">
        <v>461</v>
      </c>
      <c r="F109" s="3405"/>
      <c r="G109" s="3405"/>
      <c r="H109" s="1926" t="s">
        <v>2275</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9750</v>
      </c>
      <c r="D110" s="406">
        <v>0.1</v>
      </c>
      <c r="E110" s="3407" t="s">
        <v>463</v>
      </c>
      <c r="F110" s="3405"/>
      <c r="G110" s="3405"/>
      <c r="H110" s="3406"/>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2505</v>
      </c>
      <c r="D111" s="406">
        <f>'数据-取费表'!B43</f>
        <v>6.000000000000001E-3</v>
      </c>
      <c r="E111" s="3404" t="s">
        <v>2422</v>
      </c>
      <c r="F111" s="3405"/>
      <c r="G111" s="3405"/>
      <c r="H111" s="3406"/>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0</v>
      </c>
      <c r="D112" s="406">
        <v>0.2</v>
      </c>
      <c r="E112" s="3407" t="s">
        <v>2447</v>
      </c>
      <c r="F112" s="3405"/>
      <c r="G112" s="3405"/>
      <c r="H112" s="3406"/>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450</v>
      </c>
      <c r="C113" s="385">
        <f ca="1">ROUND(C103-C104,0)</f>
        <v>307745</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2.8038758347986916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452</v>
      </c>
      <c r="C115" s="408">
        <f ca="1">ROUND(IF(C113&lt;=0,0,IF(C114&gt;=200%,C113*60%-C104*35%,IF(C114&gt;=100%,C113*50%-C104*15%,IF(C114&gt;=50%,C113*40%-C104*5%,IF(C114&lt;50%,C113*30%,0))))),0)</f>
        <v>146232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108">
    <cfRule type="expression" dxfId="140" priority="3" stopIfTrue="1">
      <formula>$H$106&lt;&gt;"仅含出让金"</formula>
    </cfRule>
  </conditionalFormatting>
  <conditionalFormatting sqref="C109">
    <cfRule type="expression" dxfId="139" priority="2" stopIfTrue="1">
      <formula>$H$109="由企业提供"</formula>
    </cfRule>
  </conditionalFormatting>
  <conditionalFormatting sqref="I33">
    <cfRule type="expression" dxfId="13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workbookViewId="0">
      <selection activeCell="C22" sqref="C22:C34"/>
    </sheetView>
  </sheetViews>
  <sheetFormatPr defaultRowHeight="13.5"/>
  <cols>
    <col min="1" max="4" width="14.125" style="3202" customWidth="1"/>
    <col min="5" max="5" width="24" style="3202" customWidth="1"/>
    <col min="6" max="6" width="14.125" style="3202" customWidth="1"/>
    <col min="7" max="16384" width="9" style="3202"/>
  </cols>
  <sheetData>
    <row r="1" spans="1:6" ht="14.25">
      <c r="A1" s="3199" t="s">
        <v>3499</v>
      </c>
      <c r="B1" s="3200"/>
      <c r="C1" s="3200"/>
      <c r="D1" s="3200"/>
      <c r="E1" s="3200"/>
      <c r="F1" s="3201"/>
    </row>
    <row r="2" spans="1:6" ht="25.5">
      <c r="A2" s="3203"/>
      <c r="B2" s="3204"/>
      <c r="C2" s="3204"/>
      <c r="D2" s="3205" t="s">
        <v>3511</v>
      </c>
      <c r="E2" s="3206"/>
      <c r="F2" s="3207"/>
    </row>
    <row r="3" spans="1:6">
      <c r="A3" s="3208">
        <v>1</v>
      </c>
      <c r="B3" s="3465" t="s">
        <v>3500</v>
      </c>
      <c r="C3" s="3466"/>
      <c r="D3" s="3209" t="s">
        <v>3562</v>
      </c>
      <c r="E3" s="3210"/>
      <c r="F3" s="3211"/>
    </row>
    <row r="4" spans="1:6">
      <c r="A4" s="3212">
        <v>2</v>
      </c>
      <c r="B4" s="3467" t="s">
        <v>3501</v>
      </c>
      <c r="C4" s="3467"/>
      <c r="D4" s="3213">
        <f>项目基本情况!B3</f>
        <v>43629</v>
      </c>
      <c r="E4" s="3213"/>
      <c r="F4" s="3213"/>
    </row>
    <row r="5" spans="1:6">
      <c r="A5" s="3212">
        <v>3</v>
      </c>
      <c r="B5" s="3467" t="s">
        <v>3512</v>
      </c>
      <c r="C5" s="3467"/>
      <c r="D5" s="3214">
        <f ca="1">系统读取表!B5</f>
        <v>604830</v>
      </c>
      <c r="E5" s="3214"/>
      <c r="F5" s="3214"/>
    </row>
    <row r="6" spans="1:6" ht="13.5" customHeight="1">
      <c r="A6" s="3215">
        <v>4</v>
      </c>
      <c r="B6" s="3468" t="s">
        <v>3513</v>
      </c>
      <c r="C6" s="3469"/>
      <c r="D6" s="3216">
        <f ca="1">D5</f>
        <v>604830</v>
      </c>
      <c r="E6" s="3216"/>
      <c r="F6" s="3216"/>
    </row>
    <row r="7" spans="1:6">
      <c r="A7" s="3217"/>
      <c r="B7" s="3218"/>
      <c r="C7" s="3218"/>
      <c r="D7" s="3219" t="s">
        <v>3514</v>
      </c>
      <c r="E7" s="3218"/>
      <c r="F7" s="3220"/>
    </row>
    <row r="8" spans="1:6">
      <c r="A8" s="3221" t="s">
        <v>2369</v>
      </c>
      <c r="B8" s="3470" t="s">
        <v>3502</v>
      </c>
      <c r="C8" s="3470"/>
      <c r="D8" s="3221" t="s">
        <v>3503</v>
      </c>
      <c r="E8" s="3221" t="s">
        <v>3504</v>
      </c>
      <c r="F8" s="3221" t="s">
        <v>3505</v>
      </c>
    </row>
    <row r="9" spans="1:6">
      <c r="A9" s="3212">
        <v>1</v>
      </c>
      <c r="B9" s="3457" t="s">
        <v>3515</v>
      </c>
      <c r="C9" s="3457"/>
      <c r="D9" s="3222">
        <f ca="1">ROUND(D5*F9/(1+5%),0)</f>
        <v>32258</v>
      </c>
      <c r="E9" s="3223" t="s">
        <v>3506</v>
      </c>
      <c r="F9" s="3224">
        <v>5.6000000000000001E-2</v>
      </c>
    </row>
    <row r="10" spans="1:6">
      <c r="A10" s="3212">
        <v>2</v>
      </c>
      <c r="B10" s="3457" t="s">
        <v>3516</v>
      </c>
      <c r="C10" s="3457"/>
      <c r="D10" s="3222">
        <f ca="1">ROUND(D6*F10,0)</f>
        <v>302</v>
      </c>
      <c r="E10" s="3223" t="s">
        <v>3506</v>
      </c>
      <c r="F10" s="3224">
        <v>5.0000000000000001E-4</v>
      </c>
    </row>
    <row r="11" spans="1:6">
      <c r="A11" s="3212">
        <v>3</v>
      </c>
      <c r="B11" s="3457" t="s">
        <v>3517</v>
      </c>
      <c r="C11" s="3457"/>
      <c r="D11" s="3222">
        <f ca="1">C34</f>
        <v>83479</v>
      </c>
      <c r="E11" s="3223" t="s">
        <v>3507</v>
      </c>
      <c r="F11" s="3225" t="s">
        <v>951</v>
      </c>
    </row>
    <row r="12" spans="1:6">
      <c r="A12" s="3212" t="s">
        <v>3508</v>
      </c>
      <c r="B12" s="3457" t="s">
        <v>951</v>
      </c>
      <c r="C12" s="3457"/>
      <c r="D12" s="3226" t="s">
        <v>951</v>
      </c>
      <c r="E12" s="3227" t="s">
        <v>951</v>
      </c>
      <c r="F12" s="3228" t="s">
        <v>951</v>
      </c>
    </row>
    <row r="13" spans="1:6">
      <c r="A13" s="3212" t="s">
        <v>3508</v>
      </c>
      <c r="B13" s="3471" t="s">
        <v>3508</v>
      </c>
      <c r="C13" s="3472"/>
      <c r="D13" s="3222" t="s">
        <v>3508</v>
      </c>
      <c r="E13" s="3449" t="s">
        <v>3508</v>
      </c>
      <c r="F13" s="3450"/>
    </row>
    <row r="14" spans="1:6">
      <c r="A14" s="3464">
        <v>4</v>
      </c>
      <c r="B14" s="3457" t="s">
        <v>3518</v>
      </c>
      <c r="C14" s="3229" t="s">
        <v>3509</v>
      </c>
      <c r="D14" s="3230"/>
      <c r="E14" s="3231">
        <f ca="1">D9+D10+D11</f>
        <v>116039</v>
      </c>
      <c r="F14" s="3232"/>
    </row>
    <row r="15" spans="1:6">
      <c r="A15" s="3464"/>
      <c r="B15" s="3457"/>
      <c r="C15" s="3229" t="s">
        <v>3510</v>
      </c>
      <c r="D15" s="3230"/>
      <c r="E15" s="3269">
        <f ca="1">E14*10000</f>
        <v>1160390000</v>
      </c>
      <c r="F15" s="3232"/>
    </row>
    <row r="16" spans="1:6">
      <c r="A16" s="3455">
        <v>5</v>
      </c>
      <c r="B16" s="3457" t="s">
        <v>3519</v>
      </c>
      <c r="C16" s="3229" t="s">
        <v>3509</v>
      </c>
      <c r="D16" s="3230"/>
      <c r="E16" s="3231">
        <f ca="1">D5-E14</f>
        <v>488791</v>
      </c>
      <c r="F16" s="3232"/>
    </row>
    <row r="17" spans="1:9">
      <c r="A17" s="3456"/>
      <c r="B17" s="3457"/>
      <c r="C17" s="3229" t="s">
        <v>3510</v>
      </c>
      <c r="D17" s="3230"/>
      <c r="E17" s="3269">
        <f ca="1">E16*10000</f>
        <v>4887910000</v>
      </c>
      <c r="F17" s="3232"/>
    </row>
    <row r="18" spans="1:9" ht="14.25" customHeight="1" thickBot="1">
      <c r="A18" s="3212">
        <v>6</v>
      </c>
      <c r="B18" s="3458" t="s">
        <v>3520</v>
      </c>
      <c r="C18" s="3459"/>
      <c r="D18" s="3233"/>
      <c r="E18" s="3234">
        <f ca="1">ROUND(E16*10000/系统读取表!B1,0)</f>
        <v>6754</v>
      </c>
      <c r="F18" s="3235"/>
    </row>
    <row r="19" spans="1:9" ht="14.25" thickTop="1"/>
    <row r="20" spans="1:9" ht="14.25" thickBot="1">
      <c r="A20" s="3460" t="s">
        <v>3521</v>
      </c>
      <c r="B20" s="3461"/>
      <c r="C20" s="3461"/>
      <c r="D20" s="3461"/>
      <c r="E20" s="3461"/>
      <c r="F20" s="3461"/>
      <c r="G20" s="3461"/>
      <c r="H20" s="3461"/>
    </row>
    <row r="21" spans="1:9">
      <c r="A21" s="3462" t="s">
        <v>3522</v>
      </c>
      <c r="B21" s="3463"/>
      <c r="C21" s="3236"/>
      <c r="D21" s="3236" t="s">
        <v>3523</v>
      </c>
      <c r="E21" s="3237" t="s">
        <v>3524</v>
      </c>
      <c r="F21" s="3238"/>
      <c r="G21" s="3238"/>
      <c r="H21" s="413"/>
    </row>
    <row r="22" spans="1:9">
      <c r="A22" s="3239" t="s">
        <v>3525</v>
      </c>
      <c r="B22" s="3240" t="s">
        <v>3526</v>
      </c>
      <c r="C22" s="3241">
        <f ca="1">ROUND(D5/(1+5%),0)</f>
        <v>576029</v>
      </c>
      <c r="D22" s="3242" t="s">
        <v>3527</v>
      </c>
      <c r="E22" s="3243"/>
      <c r="F22" s="3244"/>
      <c r="G22" s="3244"/>
      <c r="H22" s="414"/>
    </row>
    <row r="23" spans="1:9">
      <c r="A23" s="3239" t="s">
        <v>3528</v>
      </c>
      <c r="B23" s="3245" t="s">
        <v>3529</v>
      </c>
      <c r="C23" s="3241">
        <f ca="1">C24+C27+C28+C29+C30+C31</f>
        <v>326518</v>
      </c>
      <c r="D23" s="3246"/>
      <c r="E23" s="3243"/>
      <c r="F23" s="3244"/>
      <c r="G23" s="3244"/>
      <c r="H23" s="414"/>
    </row>
    <row r="24" spans="1:9">
      <c r="A24" s="3247" t="s">
        <v>3530</v>
      </c>
      <c r="B24" s="3248" t="s">
        <v>3531</v>
      </c>
      <c r="C24" s="3249">
        <f>C25+C26</f>
        <v>293693</v>
      </c>
      <c r="D24" s="3250"/>
      <c r="E24" s="3251"/>
      <c r="F24" s="3252"/>
      <c r="G24" s="3252"/>
      <c r="H24" s="3253"/>
    </row>
    <row r="25" spans="1:9">
      <c r="A25" s="3247" t="s">
        <v>3532</v>
      </c>
      <c r="B25" s="3248" t="s">
        <v>3533</v>
      </c>
      <c r="C25" s="3254">
        <f>I25*10000</f>
        <v>285000</v>
      </c>
      <c r="D25" s="3250"/>
      <c r="E25" s="3255" t="s">
        <v>3534</v>
      </c>
      <c r="F25" s="3252"/>
      <c r="G25" s="3256" t="s">
        <v>3535</v>
      </c>
      <c r="H25" s="3270" t="s">
        <v>3561</v>
      </c>
      <c r="I25" s="3202">
        <v>28.5</v>
      </c>
    </row>
    <row r="26" spans="1:9">
      <c r="A26" s="3247" t="s">
        <v>3536</v>
      </c>
      <c r="B26" s="3248" t="s">
        <v>3537</v>
      </c>
      <c r="C26" s="3249">
        <f>ROUND(C25*D26,0)</f>
        <v>8693</v>
      </c>
      <c r="D26" s="3250">
        <v>3.0499999999999999E-2</v>
      </c>
      <c r="E26" s="3255" t="s">
        <v>3538</v>
      </c>
      <c r="F26" s="3252"/>
      <c r="G26" s="3252"/>
      <c r="H26" s="3253"/>
    </row>
    <row r="27" spans="1:9">
      <c r="A27" s="3247" t="s">
        <v>3539</v>
      </c>
      <c r="B27" s="3248" t="s">
        <v>3540</v>
      </c>
      <c r="C27" s="3257">
        <v>0</v>
      </c>
      <c r="D27" s="3250"/>
      <c r="E27" s="3255" t="s">
        <v>3541</v>
      </c>
      <c r="F27" s="3252"/>
      <c r="G27" s="3252"/>
      <c r="H27" s="3253"/>
    </row>
    <row r="28" spans="1:9">
      <c r="A28" s="3258" t="s">
        <v>3542</v>
      </c>
      <c r="B28" s="3248" t="s">
        <v>3543</v>
      </c>
      <c r="C28" s="3249">
        <v>0</v>
      </c>
      <c r="D28" s="3250"/>
      <c r="E28" s="3451" t="s">
        <v>3544</v>
      </c>
      <c r="F28" s="3452"/>
      <c r="G28" s="3452"/>
      <c r="H28" s="3259" t="s">
        <v>3545</v>
      </c>
    </row>
    <row r="29" spans="1:9">
      <c r="A29" s="3258" t="s">
        <v>3546</v>
      </c>
      <c r="B29" s="3248" t="s">
        <v>3547</v>
      </c>
      <c r="C29" s="3249">
        <f>ROUND((C24+C27+C28)*D29,0)</f>
        <v>29369</v>
      </c>
      <c r="D29" s="3250">
        <v>0.1</v>
      </c>
      <c r="E29" s="3451" t="s">
        <v>3548</v>
      </c>
      <c r="F29" s="3452"/>
      <c r="G29" s="3452"/>
      <c r="H29" s="3453"/>
    </row>
    <row r="30" spans="1:9">
      <c r="A30" s="3258" t="s">
        <v>3549</v>
      </c>
      <c r="B30" s="3248" t="s">
        <v>3550</v>
      </c>
      <c r="C30" s="3249">
        <f ca="1">ROUND(C22*D30,0)</f>
        <v>3456</v>
      </c>
      <c r="D30" s="3250">
        <v>6.000000000000001E-3</v>
      </c>
      <c r="E30" s="3454" t="s">
        <v>3551</v>
      </c>
      <c r="F30" s="3452"/>
      <c r="G30" s="3452"/>
      <c r="H30" s="3453"/>
    </row>
    <row r="31" spans="1:9">
      <c r="A31" s="3258" t="s">
        <v>3552</v>
      </c>
      <c r="B31" s="3248" t="s">
        <v>3553</v>
      </c>
      <c r="C31" s="3249">
        <v>0</v>
      </c>
      <c r="D31" s="3250">
        <v>0.2</v>
      </c>
      <c r="E31" s="3451" t="s">
        <v>3554</v>
      </c>
      <c r="F31" s="3452"/>
      <c r="G31" s="3452"/>
      <c r="H31" s="3453"/>
    </row>
    <row r="32" spans="1:9">
      <c r="A32" s="3260" t="s">
        <v>3555</v>
      </c>
      <c r="B32" s="3240" t="s">
        <v>3556</v>
      </c>
      <c r="C32" s="3241">
        <f ca="1">C22-C23</f>
        <v>249511</v>
      </c>
      <c r="D32" s="3242" t="s">
        <v>3527</v>
      </c>
      <c r="E32" s="3243"/>
      <c r="F32" s="3244"/>
      <c r="G32" s="3244"/>
      <c r="H32" s="414"/>
    </row>
    <row r="33" spans="1:8" ht="25.5">
      <c r="A33" s="3260" t="s">
        <v>3557</v>
      </c>
      <c r="B33" s="3240" t="s">
        <v>3558</v>
      </c>
      <c r="C33" s="3261">
        <f ca="1">ROUND(C32/C23,3)</f>
        <v>0.76400000000000001</v>
      </c>
      <c r="D33" s="3242" t="s">
        <v>3527</v>
      </c>
      <c r="E33" s="3262" t="s">
        <v>3563</v>
      </c>
      <c r="F33" s="3244"/>
      <c r="G33" s="3244"/>
      <c r="H33" s="414"/>
    </row>
    <row r="34" spans="1:8" ht="14.25" thickBot="1">
      <c r="A34" s="3263" t="s">
        <v>3559</v>
      </c>
      <c r="B34" s="3264" t="s">
        <v>3560</v>
      </c>
      <c r="C34" s="3265">
        <f ca="1">ROUND(C32*40%-C23*5%,0)</f>
        <v>83479</v>
      </c>
      <c r="D34" s="3266" t="s">
        <v>3527</v>
      </c>
      <c r="E34" s="3267" t="s">
        <v>3564</v>
      </c>
      <c r="F34" s="3268"/>
      <c r="G34" s="3268"/>
      <c r="H34" s="420"/>
    </row>
  </sheetData>
  <mergeCells count="22">
    <mergeCell ref="B9:C9"/>
    <mergeCell ref="B10:C10"/>
    <mergeCell ref="B11:C11"/>
    <mergeCell ref="B12:C12"/>
    <mergeCell ref="B13:C13"/>
    <mergeCell ref="B3:C3"/>
    <mergeCell ref="B4:C4"/>
    <mergeCell ref="B5:C5"/>
    <mergeCell ref="B6:C6"/>
    <mergeCell ref="B8:C8"/>
    <mergeCell ref="E13:F13"/>
    <mergeCell ref="E29:H29"/>
    <mergeCell ref="E30:H30"/>
    <mergeCell ref="E31:H31"/>
    <mergeCell ref="A16:A17"/>
    <mergeCell ref="B16:B17"/>
    <mergeCell ref="B18:C18"/>
    <mergeCell ref="A20:H20"/>
    <mergeCell ref="A21:B21"/>
    <mergeCell ref="E28:G28"/>
    <mergeCell ref="A14:A15"/>
    <mergeCell ref="B14:B15"/>
  </mergeCells>
  <phoneticPr fontId="229" type="noConversion"/>
  <conditionalFormatting sqref="C27">
    <cfRule type="expression" dxfId="137" priority="2" stopIfTrue="1">
      <formula>$H$106&lt;&gt;"仅含出让金"</formula>
    </cfRule>
  </conditionalFormatting>
  <conditionalFormatting sqref="C28">
    <cfRule type="expression" dxfId="136" priority="1" stopIfTrue="1">
      <formula>$H$109="由企业提供"</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0" sqref="M4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450758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18760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58324</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3888</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520</v>
      </c>
      <c r="B6" s="513"/>
      <c r="C6" s="3482" t="s">
        <v>521</v>
      </c>
      <c r="D6" s="3483"/>
      <c r="E6" s="3482" t="s">
        <v>522</v>
      </c>
      <c r="F6" s="3483"/>
      <c r="G6" s="3482" t="s">
        <v>523</v>
      </c>
      <c r="H6" s="3483"/>
      <c r="I6" s="3482" t="s">
        <v>524</v>
      </c>
      <c r="J6" s="3483"/>
      <c r="K6" s="514" t="s">
        <v>525</v>
      </c>
      <c r="L6" s="2118"/>
      <c r="M6" s="2117"/>
      <c r="N6" s="2117"/>
      <c r="O6" s="2119"/>
      <c r="P6" s="3484" t="s">
        <v>526</v>
      </c>
      <c r="Q6" s="3485"/>
      <c r="R6" s="3490" t="s">
        <v>522</v>
      </c>
      <c r="S6" s="3491"/>
      <c r="T6" s="3490" t="s">
        <v>523</v>
      </c>
      <c r="U6" s="3491"/>
      <c r="V6" s="3477" t="s">
        <v>524</v>
      </c>
      <c r="W6" s="3477"/>
      <c r="X6" s="1553"/>
      <c r="Y6" s="3490" t="s">
        <v>526</v>
      </c>
      <c r="Z6" s="3491"/>
      <c r="AA6" s="3479" t="s">
        <v>522</v>
      </c>
      <c r="AB6" s="3480" t="s">
        <v>523</v>
      </c>
      <c r="AC6" s="3479" t="s">
        <v>524</v>
      </c>
    </row>
    <row r="7" spans="1:30" ht="45" customHeight="1">
      <c r="A7" s="515"/>
      <c r="B7" s="516"/>
      <c r="C7" s="3498" t="str">
        <f>项目基本情况!B1</f>
        <v>江苏省南京市浦口区总部大道以北地块出让国有建设用地使用权抵押价格预评估</v>
      </c>
      <c r="D7" s="3499"/>
      <c r="E7" s="3498" t="str">
        <f>土地案例!A2</f>
        <v>江北新区广西埂大街以南,迎江路以东地块</v>
      </c>
      <c r="F7" s="3499"/>
      <c r="G7" s="3498" t="str">
        <f>土地案例!A3</f>
        <v>江北新区七里河大街以北、江北快速路以东地块</v>
      </c>
      <c r="H7" s="3499"/>
      <c r="I7" s="3498" t="str">
        <f>土地案例!A4</f>
        <v>江北新区铁院路以东、吉庆路以北地块</v>
      </c>
      <c r="J7" s="3499"/>
      <c r="K7" s="514"/>
      <c r="L7" s="2118"/>
      <c r="M7" s="2117"/>
      <c r="N7" s="2117"/>
      <c r="O7" s="2119"/>
      <c r="P7" s="3486"/>
      <c r="Q7" s="3487"/>
      <c r="R7" s="3492"/>
      <c r="S7" s="3493"/>
      <c r="T7" s="3492"/>
      <c r="U7" s="3493"/>
      <c r="V7" s="3477"/>
      <c r="W7" s="3477"/>
      <c r="X7" s="1553"/>
      <c r="Y7" s="3492"/>
      <c r="Z7" s="3493"/>
      <c r="AA7" s="3480"/>
      <c r="AB7" s="3480"/>
      <c r="AC7" s="3480"/>
    </row>
    <row r="8" spans="1:30" ht="21" thickBot="1">
      <c r="A8" s="515"/>
      <c r="B8" s="516"/>
      <c r="C8" s="3500" t="s">
        <v>2920</v>
      </c>
      <c r="D8" s="3501"/>
      <c r="E8" s="3500" t="s">
        <v>2920</v>
      </c>
      <c r="F8" s="3501"/>
      <c r="G8" s="3496" t="s">
        <v>2920</v>
      </c>
      <c r="H8" s="3497"/>
      <c r="I8" s="3496" t="s">
        <v>2920</v>
      </c>
      <c r="J8" s="3497"/>
      <c r="K8" s="514" t="s">
        <v>527</v>
      </c>
      <c r="L8" s="2118"/>
      <c r="M8" s="2117"/>
      <c r="N8" s="2117"/>
      <c r="O8" s="2119"/>
      <c r="P8" s="3488"/>
      <c r="Q8" s="3489"/>
      <c r="R8" s="3492"/>
      <c r="S8" s="3493"/>
      <c r="T8" s="3494"/>
      <c r="U8" s="3495"/>
      <c r="V8" s="3477"/>
      <c r="W8" s="3477"/>
      <c r="X8" s="1553"/>
      <c r="Y8" s="3494"/>
      <c r="Z8" s="3495"/>
      <c r="AA8" s="3481"/>
      <c r="AB8" s="3481"/>
      <c r="AC8" s="3481"/>
    </row>
    <row r="9" spans="1:30" s="1215" customFormat="1" ht="21" thickBot="1">
      <c r="A9" s="2866"/>
      <c r="B9" s="2873" t="s">
        <v>528</v>
      </c>
      <c r="C9" s="2865">
        <f>'数据-取费表'!B2</f>
        <v>43629</v>
      </c>
      <c r="D9" s="520">
        <v>100</v>
      </c>
      <c r="E9" s="521" t="str">
        <f>土地案例!AA2</f>
        <v>2019-06-12</v>
      </c>
      <c r="F9" s="522">
        <f>SUMIF(72:72,YEAR(E9)&amp;"-"&amp;INT((MONTH(E9)+2)/3),73:73)</f>
        <v>100</v>
      </c>
      <c r="G9" s="523" t="str">
        <f>土地案例!AA3</f>
        <v>2019-06-12</v>
      </c>
      <c r="H9" s="520">
        <f>SUMIF(72:72,YEAR(G9)&amp;"-"&amp;INT((MONTH(G9)+2)/3),73:73)</f>
        <v>100</v>
      </c>
      <c r="I9" s="523" t="str">
        <f>土地案例!AA4</f>
        <v>2019-06-12</v>
      </c>
      <c r="J9" s="520">
        <f>SUMIF(72:72,YEAR(I9)&amp;"-"&amp;INT((MONTH(I9)+2)/3),73:73)</f>
        <v>100</v>
      </c>
      <c r="K9" s="524"/>
      <c r="L9" s="2120"/>
      <c r="M9" s="2117"/>
      <c r="N9" s="2117"/>
      <c r="O9" s="2121"/>
      <c r="P9" s="3507" t="s">
        <v>529</v>
      </c>
      <c r="Q9" s="3509"/>
      <c r="R9" s="1554" t="s">
        <v>8</v>
      </c>
      <c r="S9" s="1555">
        <f t="shared" ref="S9:S17" si="0">F9</f>
        <v>100</v>
      </c>
      <c r="T9" s="1554" t="s">
        <v>8</v>
      </c>
      <c r="U9" s="1555">
        <f t="shared" ref="U9:U17" si="1">H9</f>
        <v>100</v>
      </c>
      <c r="V9" s="1554" t="s">
        <v>8</v>
      </c>
      <c r="W9" s="1555">
        <f t="shared" ref="W9:W17" si="2">J9</f>
        <v>100</v>
      </c>
      <c r="X9" s="1556"/>
      <c r="Y9" s="3507" t="s">
        <v>529</v>
      </c>
      <c r="Z9" s="3508"/>
      <c r="AA9" s="1557">
        <f>D9/F9</f>
        <v>1</v>
      </c>
      <c r="AB9" s="1557">
        <f>D9/H9</f>
        <v>1</v>
      </c>
      <c r="AC9" s="1557">
        <f>D9/J9</f>
        <v>1</v>
      </c>
    </row>
    <row r="10" spans="1:30" s="1215" customFormat="1" ht="21" thickBot="1">
      <c r="A10" s="2867"/>
      <c r="B10" s="2874"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507" t="s">
        <v>532</v>
      </c>
      <c r="Q10" s="3508"/>
      <c r="R10" s="1554" t="s">
        <v>8</v>
      </c>
      <c r="S10" s="1555">
        <f t="shared" si="0"/>
        <v>100</v>
      </c>
      <c r="T10" s="1554" t="s">
        <v>8</v>
      </c>
      <c r="U10" s="1555">
        <f t="shared" si="1"/>
        <v>100</v>
      </c>
      <c r="V10" s="1554" t="s">
        <v>8</v>
      </c>
      <c r="W10" s="1555">
        <f t="shared" si="2"/>
        <v>100</v>
      </c>
      <c r="X10" s="1556"/>
      <c r="Y10" s="3507" t="s">
        <v>532</v>
      </c>
      <c r="Z10" s="3508"/>
      <c r="AA10" s="1557">
        <f t="shared" ref="AA10:AA47" si="3">D10/F10</f>
        <v>1</v>
      </c>
      <c r="AB10" s="1557">
        <f t="shared" ref="AB10:AB47" si="4">D10/H10</f>
        <v>1</v>
      </c>
      <c r="AC10" s="1557">
        <f t="shared" ref="AC10:AC47" si="5">D10/J10</f>
        <v>1</v>
      </c>
    </row>
    <row r="11" spans="1:30" s="1215" customFormat="1" ht="20.25">
      <c r="A11" s="2868"/>
      <c r="B11" s="2875" t="s">
        <v>2749</v>
      </c>
      <c r="C11" s="3181" t="s">
        <v>3376</v>
      </c>
      <c r="D11" s="254">
        <v>100</v>
      </c>
      <c r="E11" s="3181" t="s">
        <v>3376</v>
      </c>
      <c r="F11" s="254">
        <f>SUMIF(77:77,E11,78:78)-SUMIF(77:77,C11,78:78)+100</f>
        <v>100</v>
      </c>
      <c r="G11" s="3181" t="s">
        <v>3376</v>
      </c>
      <c r="H11" s="254">
        <f>SUMIF(77:77,G11,78:78)-SUMIF(77:77,C11,78:78)+100</f>
        <v>100</v>
      </c>
      <c r="I11" s="3181" t="s">
        <v>3376</v>
      </c>
      <c r="J11" s="254">
        <f>SUMIF(77:77,I11,78:78)-SUMIF(77:77,C11,78:78)+100</f>
        <v>100</v>
      </c>
      <c r="K11" s="524"/>
      <c r="L11" s="2120"/>
      <c r="M11" s="2117"/>
      <c r="N11" s="2117"/>
      <c r="O11" s="2122"/>
      <c r="P11" s="3476" t="s">
        <v>534</v>
      </c>
      <c r="Q11" s="1146" t="str">
        <f t="shared" ref="Q11:Q17" si="6">B11</f>
        <v>用途</v>
      </c>
      <c r="R11" s="1554" t="s">
        <v>8</v>
      </c>
      <c r="S11" s="1555">
        <f t="shared" si="0"/>
        <v>100</v>
      </c>
      <c r="T11" s="1554" t="s">
        <v>8</v>
      </c>
      <c r="U11" s="1555">
        <f t="shared" si="1"/>
        <v>100</v>
      </c>
      <c r="V11" s="1554" t="s">
        <v>8</v>
      </c>
      <c r="W11" s="1555">
        <f t="shared" si="2"/>
        <v>100</v>
      </c>
      <c r="X11" s="1556"/>
      <c r="Y11" s="3398" t="s">
        <v>535</v>
      </c>
      <c r="Z11" s="1145" t="str">
        <f t="shared" ref="Z11:Z17" si="7">Q11</f>
        <v>用途</v>
      </c>
      <c r="AA11" s="1557">
        <f t="shared" si="3"/>
        <v>1</v>
      </c>
      <c r="AB11" s="1557">
        <f t="shared" si="4"/>
        <v>1</v>
      </c>
      <c r="AC11" s="1557">
        <f t="shared" si="5"/>
        <v>1</v>
      </c>
    </row>
    <row r="12" spans="1:30" s="1333" customFormat="1" ht="27">
      <c r="A12" s="2869"/>
      <c r="B12" s="2874" t="s">
        <v>2750</v>
      </c>
      <c r="C12" s="909">
        <f>'数据-取费表'!F6</f>
        <v>62.52</v>
      </c>
      <c r="D12" s="255">
        <v>100</v>
      </c>
      <c r="E12" s="529" t="s">
        <v>3377</v>
      </c>
      <c r="F12" s="255">
        <f>ROUND(100/'数据-取费表'!G16,0)</f>
        <v>103</v>
      </c>
      <c r="G12" s="529" t="s">
        <v>3377</v>
      </c>
      <c r="H12" s="255">
        <f>ROUND(100/'数据-取费表'!G16,0)</f>
        <v>103</v>
      </c>
      <c r="I12" s="529" t="s">
        <v>3377</v>
      </c>
      <c r="J12" s="255">
        <f>ROUND(100/'数据-取费表'!G16,0)</f>
        <v>103</v>
      </c>
      <c r="K12" s="531"/>
      <c r="L12" s="2123"/>
      <c r="M12" s="2117"/>
      <c r="N12" s="2117"/>
      <c r="O12" s="2124"/>
      <c r="P12" s="3476"/>
      <c r="Q12" s="1146" t="str">
        <f t="shared" si="6"/>
        <v>土地使用年限（年）</v>
      </c>
      <c r="R12" s="1554" t="s">
        <v>8</v>
      </c>
      <c r="S12" s="1555">
        <f t="shared" si="0"/>
        <v>103</v>
      </c>
      <c r="T12" s="1554" t="s">
        <v>8</v>
      </c>
      <c r="U12" s="1555">
        <f t="shared" si="1"/>
        <v>103</v>
      </c>
      <c r="V12" s="1554" t="s">
        <v>8</v>
      </c>
      <c r="W12" s="1555">
        <f t="shared" si="2"/>
        <v>103</v>
      </c>
      <c r="X12" s="1556"/>
      <c r="Y12" s="3398"/>
      <c r="Z12" s="1145" t="str">
        <f t="shared" si="7"/>
        <v>土地使用年限（年）</v>
      </c>
      <c r="AA12" s="1557">
        <f t="shared" si="3"/>
        <v>0.970873786407767</v>
      </c>
      <c r="AB12" s="1557">
        <f t="shared" si="4"/>
        <v>0.970873786407767</v>
      </c>
      <c r="AC12" s="1557">
        <f t="shared" si="5"/>
        <v>0.970873786407767</v>
      </c>
    </row>
    <row r="13" spans="1:30" ht="21" thickBot="1">
      <c r="A13" s="2870"/>
      <c r="B13" s="2874" t="s">
        <v>2751</v>
      </c>
      <c r="C13" s="534">
        <f>'数据-汇总表'!I6</f>
        <v>3.01</v>
      </c>
      <c r="D13" s="255">
        <v>100</v>
      </c>
      <c r="E13" s="533">
        <f>土地案例!L2</f>
        <v>2.4</v>
      </c>
      <c r="F13" s="255">
        <f>LOOKUP(E13,82:82,83:83)-LOOKUP(C13,82:82,83:83)+100</f>
        <v>102</v>
      </c>
      <c r="G13" s="534">
        <f>土地案例!L3</f>
        <v>2</v>
      </c>
      <c r="H13" s="255">
        <f>LOOKUP(G13,82:82,83:83)-LOOKUP(C13,82:82,83:83)+100</f>
        <v>102</v>
      </c>
      <c r="I13" s="533">
        <f>土地案例!L4</f>
        <v>2.5</v>
      </c>
      <c r="J13" s="255">
        <f>LOOKUP(I13,82:82,83:83)-LOOKUP(C13,82:82,83:83)+100</f>
        <v>102</v>
      </c>
      <c r="K13" s="535">
        <v>2</v>
      </c>
      <c r="L13" s="2125"/>
      <c r="M13" s="2117"/>
      <c r="N13" s="2117"/>
      <c r="O13" s="2126"/>
      <c r="P13" s="3476"/>
      <c r="Q13" s="1146" t="str">
        <f t="shared" si="6"/>
        <v>容积率</v>
      </c>
      <c r="R13" s="1554" t="s">
        <v>8</v>
      </c>
      <c r="S13" s="1555">
        <f t="shared" si="0"/>
        <v>102</v>
      </c>
      <c r="T13" s="1554" t="s">
        <v>8</v>
      </c>
      <c r="U13" s="1555">
        <f t="shared" si="1"/>
        <v>102</v>
      </c>
      <c r="V13" s="1554" t="s">
        <v>8</v>
      </c>
      <c r="W13" s="1555">
        <f t="shared" si="2"/>
        <v>102</v>
      </c>
      <c r="X13" s="1556"/>
      <c r="Y13" s="3398"/>
      <c r="Z13" s="1145" t="str">
        <f t="shared" si="7"/>
        <v>容积率</v>
      </c>
      <c r="AA13" s="1557">
        <f t="shared" si="3"/>
        <v>0.98039215686274506</v>
      </c>
      <c r="AB13" s="1557">
        <f t="shared" si="4"/>
        <v>0.98039215686274506</v>
      </c>
      <c r="AC13" s="1557">
        <f t="shared" si="5"/>
        <v>0.98039215686274506</v>
      </c>
    </row>
    <row r="14" spans="1:30" s="1215" customFormat="1" ht="20.25" hidden="1">
      <c r="A14" s="2867"/>
      <c r="B14" s="2876" t="s">
        <v>2752</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476"/>
      <c r="Q14" s="1146" t="str">
        <f t="shared" si="6"/>
        <v>配建</v>
      </c>
      <c r="R14" s="1554" t="s">
        <v>8</v>
      </c>
      <c r="S14" s="1555">
        <f t="shared" si="0"/>
        <v>100</v>
      </c>
      <c r="T14" s="1554" t="s">
        <v>8</v>
      </c>
      <c r="U14" s="1555">
        <f t="shared" si="1"/>
        <v>100</v>
      </c>
      <c r="V14" s="1554" t="s">
        <v>8</v>
      </c>
      <c r="W14" s="1555">
        <f t="shared" si="2"/>
        <v>100</v>
      </c>
      <c r="X14" s="1556"/>
      <c r="Y14" s="3398"/>
      <c r="Z14" s="1145" t="str">
        <f t="shared" si="7"/>
        <v>配建</v>
      </c>
      <c r="AA14" s="1557">
        <f>D14/F14</f>
        <v>1</v>
      </c>
      <c r="AB14" s="1557">
        <f>D14/H14</f>
        <v>1</v>
      </c>
      <c r="AC14" s="1557">
        <f>D14/J14</f>
        <v>1</v>
      </c>
    </row>
    <row r="15" spans="1:30" ht="20.25"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76"/>
      <c r="Q15" s="1146">
        <f t="shared" si="6"/>
        <v>111</v>
      </c>
      <c r="R15" s="1554" t="s">
        <v>8</v>
      </c>
      <c r="S15" s="1555">
        <f t="shared" si="0"/>
        <v>100</v>
      </c>
      <c r="T15" s="1554" t="s">
        <v>8</v>
      </c>
      <c r="U15" s="1555">
        <f t="shared" si="1"/>
        <v>100</v>
      </c>
      <c r="V15" s="1554" t="s">
        <v>8</v>
      </c>
      <c r="W15" s="1555">
        <f t="shared" si="2"/>
        <v>100</v>
      </c>
      <c r="X15" s="1556"/>
      <c r="Y15" s="3398"/>
      <c r="Z15" s="1145">
        <f t="shared" si="7"/>
        <v>111</v>
      </c>
      <c r="AA15" s="1557">
        <f>D15/F15</f>
        <v>1</v>
      </c>
      <c r="AB15" s="1557">
        <f>D15/H15</f>
        <v>1</v>
      </c>
      <c r="AC15" s="1557">
        <f>D15/J15</f>
        <v>1</v>
      </c>
    </row>
    <row r="16" spans="1:30" ht="21"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76"/>
      <c r="Q16" s="1146">
        <f t="shared" si="6"/>
        <v>111</v>
      </c>
      <c r="R16" s="1554" t="s">
        <v>8</v>
      </c>
      <c r="S16" s="1555">
        <f t="shared" si="0"/>
        <v>100</v>
      </c>
      <c r="T16" s="1554" t="s">
        <v>8</v>
      </c>
      <c r="U16" s="1555">
        <f t="shared" si="1"/>
        <v>100</v>
      </c>
      <c r="V16" s="1554" t="s">
        <v>8</v>
      </c>
      <c r="W16" s="1555">
        <f t="shared" si="2"/>
        <v>100</v>
      </c>
      <c r="X16" s="1556"/>
      <c r="Y16" s="3398"/>
      <c r="Z16" s="1145">
        <f t="shared" si="7"/>
        <v>111</v>
      </c>
      <c r="AA16" s="1557">
        <f>D16/F16</f>
        <v>1</v>
      </c>
      <c r="AB16" s="1557">
        <f>D16/H16</f>
        <v>1</v>
      </c>
      <c r="AC16" s="1557">
        <f>D16/J16</f>
        <v>1</v>
      </c>
    </row>
    <row r="17" spans="1:29" ht="20.25">
      <c r="A17" s="2864" t="s">
        <v>2747</v>
      </c>
      <c r="B17" s="578" t="s">
        <v>295</v>
      </c>
      <c r="C17" s="548" t="str">
        <f>估价对象房地状况!C15</f>
        <v>较好</v>
      </c>
      <c r="D17" s="551">
        <v>100</v>
      </c>
      <c r="E17" s="3272" t="s">
        <v>3570</v>
      </c>
      <c r="F17" s="549">
        <f>SUMIF(90:90,E18,91:91)-SUMIF(90:90,C18,91:91)+100</f>
        <v>98</v>
      </c>
      <c r="G17" s="3273" t="s">
        <v>3571</v>
      </c>
      <c r="H17" s="549">
        <f>SUMIF(90:90,G18,91:91)-SUMIF(90:90,C18,91:91)+100</f>
        <v>100</v>
      </c>
      <c r="I17" s="3272" t="s">
        <v>3571</v>
      </c>
      <c r="J17" s="549">
        <f>SUMIF(90:90,I18,91:91)-SUMIF(90:90,C18,91:91)+100</f>
        <v>100</v>
      </c>
      <c r="K17" s="535">
        <v>2</v>
      </c>
      <c r="L17" s="2127"/>
      <c r="M17" s="2117"/>
      <c r="N17" s="2117"/>
      <c r="O17" s="2126"/>
      <c r="P17" s="3510" t="s">
        <v>539</v>
      </c>
      <c r="Q17" s="1558" t="str">
        <f t="shared" si="6"/>
        <v>居住社区成熟度</v>
      </c>
      <c r="R17" s="1559" t="s">
        <v>8</v>
      </c>
      <c r="S17" s="1560">
        <f t="shared" si="0"/>
        <v>98</v>
      </c>
      <c r="T17" s="1559" t="s">
        <v>8</v>
      </c>
      <c r="U17" s="1560">
        <f t="shared" si="1"/>
        <v>100</v>
      </c>
      <c r="V17" s="1559" t="s">
        <v>8</v>
      </c>
      <c r="W17" s="1560">
        <f t="shared" si="2"/>
        <v>100</v>
      </c>
      <c r="X17" s="1553"/>
      <c r="Y17" s="3510" t="s">
        <v>539</v>
      </c>
      <c r="Z17" s="1561" t="str">
        <f t="shared" si="7"/>
        <v>居住社区成熟度</v>
      </c>
      <c r="AA17" s="1562">
        <f t="shared" si="3"/>
        <v>1.0204081632653061</v>
      </c>
      <c r="AB17" s="1562">
        <f t="shared" si="4"/>
        <v>1</v>
      </c>
      <c r="AC17" s="1562">
        <f t="shared" si="5"/>
        <v>1</v>
      </c>
    </row>
    <row r="18" spans="1:29" ht="21" thickBot="1">
      <c r="A18" s="532"/>
      <c r="B18" s="553"/>
      <c r="C18" s="554" t="s">
        <v>3378</v>
      </c>
      <c r="D18" s="557"/>
      <c r="E18" s="554" t="s">
        <v>3392</v>
      </c>
      <c r="F18" s="555"/>
      <c r="G18" s="554" t="s">
        <v>3378</v>
      </c>
      <c r="H18" s="559"/>
      <c r="I18" s="554" t="s">
        <v>3378</v>
      </c>
      <c r="J18" s="555"/>
      <c r="K18" s="531"/>
      <c r="L18" s="2127"/>
      <c r="M18" s="2117"/>
      <c r="N18" s="2117"/>
      <c r="O18" s="2126"/>
      <c r="P18" s="3511"/>
      <c r="Q18" s="1558"/>
      <c r="R18" s="1559"/>
      <c r="S18" s="1560"/>
      <c r="T18" s="1559"/>
      <c r="U18" s="1560"/>
      <c r="V18" s="1559"/>
      <c r="W18" s="1560"/>
      <c r="X18" s="1553"/>
      <c r="Y18" s="3511"/>
      <c r="Z18" s="1561"/>
      <c r="AA18" s="1562">
        <v>1</v>
      </c>
      <c r="AB18" s="1562">
        <v>1</v>
      </c>
      <c r="AC18" s="1562">
        <v>1</v>
      </c>
    </row>
    <row r="19" spans="1:29" ht="20.25" hidden="1">
      <c r="A19" s="532"/>
      <c r="B19" s="560" t="s">
        <v>540</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511"/>
      <c r="Q19" s="1558" t="str">
        <f>B19</f>
        <v>商业繁华度</v>
      </c>
      <c r="R19" s="1559" t="s">
        <v>8</v>
      </c>
      <c r="S19" s="1560">
        <f>F19</f>
        <v>100</v>
      </c>
      <c r="T19" s="1559" t="s">
        <v>8</v>
      </c>
      <c r="U19" s="1560">
        <f>H19</f>
        <v>100</v>
      </c>
      <c r="V19" s="1559" t="s">
        <v>8</v>
      </c>
      <c r="W19" s="1560">
        <f>J19</f>
        <v>100</v>
      </c>
      <c r="X19" s="1553"/>
      <c r="Y19" s="3511"/>
      <c r="Z19" s="1561" t="str">
        <f>Q19</f>
        <v>商业繁华度</v>
      </c>
      <c r="AA19" s="1562">
        <f t="shared" si="3"/>
        <v>1</v>
      </c>
      <c r="AB19" s="1562">
        <f t="shared" si="4"/>
        <v>1</v>
      </c>
      <c r="AC19" s="1562">
        <f t="shared" si="5"/>
        <v>1</v>
      </c>
    </row>
    <row r="20" spans="1:29" ht="20.25" hidden="1">
      <c r="A20" s="532"/>
      <c r="B20" s="566"/>
      <c r="C20" s="567" t="s">
        <v>3378</v>
      </c>
      <c r="D20" s="563"/>
      <c r="E20" s="567" t="s">
        <v>3378</v>
      </c>
      <c r="F20" s="559"/>
      <c r="G20" s="567" t="s">
        <v>3378</v>
      </c>
      <c r="H20" s="555"/>
      <c r="I20" s="567" t="s">
        <v>3378</v>
      </c>
      <c r="J20" s="555"/>
      <c r="K20" s="531"/>
      <c r="L20" s="2127"/>
      <c r="M20" s="2117"/>
      <c r="N20" s="2117"/>
      <c r="O20" s="2126"/>
      <c r="P20" s="3511"/>
      <c r="Q20" s="1558"/>
      <c r="R20" s="1559"/>
      <c r="S20" s="1560"/>
      <c r="T20" s="1559"/>
      <c r="U20" s="1560"/>
      <c r="V20" s="1559"/>
      <c r="W20" s="1560"/>
      <c r="X20" s="1553"/>
      <c r="Y20" s="3511"/>
      <c r="Z20" s="1561"/>
      <c r="AA20" s="1562">
        <v>1</v>
      </c>
      <c r="AB20" s="1562">
        <v>1</v>
      </c>
      <c r="AC20" s="1562">
        <v>1</v>
      </c>
    </row>
    <row r="21" spans="1:29" ht="20.25" hidden="1">
      <c r="A21" s="532"/>
      <c r="B21" s="560" t="s">
        <v>541</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511"/>
      <c r="Q21" s="1558" t="str">
        <f>B21</f>
        <v>办公集聚程度</v>
      </c>
      <c r="R21" s="1559" t="s">
        <v>8</v>
      </c>
      <c r="S21" s="1560">
        <f>F21</f>
        <v>100</v>
      </c>
      <c r="T21" s="1559" t="s">
        <v>8</v>
      </c>
      <c r="U21" s="1560">
        <f>H21</f>
        <v>100</v>
      </c>
      <c r="V21" s="1559" t="s">
        <v>8</v>
      </c>
      <c r="W21" s="1560">
        <f>J21</f>
        <v>100</v>
      </c>
      <c r="X21" s="1553"/>
      <c r="Y21" s="3511"/>
      <c r="Z21" s="1561" t="str">
        <f>Q21</f>
        <v>办公集聚程度</v>
      </c>
      <c r="AA21" s="1562">
        <f t="shared" si="3"/>
        <v>1</v>
      </c>
      <c r="AB21" s="1562">
        <f t="shared" si="4"/>
        <v>1</v>
      </c>
      <c r="AC21" s="1562">
        <f t="shared" si="5"/>
        <v>1</v>
      </c>
    </row>
    <row r="22" spans="1:29" ht="20.25" hidden="1">
      <c r="A22" s="532"/>
      <c r="B22" s="566"/>
      <c r="C22" s="554" t="s">
        <v>3378</v>
      </c>
      <c r="D22" s="557"/>
      <c r="E22" s="554" t="s">
        <v>3378</v>
      </c>
      <c r="F22" s="555"/>
      <c r="G22" s="554" t="s">
        <v>3378</v>
      </c>
      <c r="H22" s="555"/>
      <c r="I22" s="554" t="s">
        <v>3378</v>
      </c>
      <c r="J22" s="555"/>
      <c r="K22" s="531"/>
      <c r="L22" s="2127"/>
      <c r="M22" s="2117"/>
      <c r="N22" s="2117"/>
      <c r="O22" s="2126"/>
      <c r="P22" s="3511"/>
      <c r="Q22" s="1558"/>
      <c r="R22" s="1559"/>
      <c r="S22" s="1560"/>
      <c r="T22" s="1559"/>
      <c r="U22" s="1560"/>
      <c r="V22" s="1559"/>
      <c r="W22" s="1560"/>
      <c r="X22" s="1553"/>
      <c r="Y22" s="3511"/>
      <c r="Z22" s="1561"/>
      <c r="AA22" s="1562">
        <v>1</v>
      </c>
      <c r="AB22" s="1562">
        <v>1</v>
      </c>
      <c r="AC22" s="1562">
        <v>1</v>
      </c>
    </row>
    <row r="23" spans="1:29" ht="20.25">
      <c r="A23" s="532"/>
      <c r="B23" s="560" t="s">
        <v>542</v>
      </c>
      <c r="C23" s="573" t="str">
        <f>估价对象房地状况!C18</f>
        <v>较好</v>
      </c>
      <c r="D23" s="563">
        <v>100</v>
      </c>
      <c r="E23" s="3272" t="s">
        <v>3570</v>
      </c>
      <c r="F23" s="565">
        <f>SUMIF(96:96,E24,97:97)-SUMIF(96:96,C24,97:97)+100</f>
        <v>98</v>
      </c>
      <c r="G23" s="3272" t="s">
        <v>3570</v>
      </c>
      <c r="H23" s="559">
        <f>SUMIF(96:96,G24,97:97)-SUMIF(96:96,C24,97:97)+100</f>
        <v>98</v>
      </c>
      <c r="I23" s="3272" t="s">
        <v>3570</v>
      </c>
      <c r="J23" s="559">
        <f>SUMIF(96:96,I24,97:97)-SUMIF(96:96,C24,97:97)+100</f>
        <v>98</v>
      </c>
      <c r="K23" s="535">
        <v>2</v>
      </c>
      <c r="L23" s="2127"/>
      <c r="M23" s="2117"/>
      <c r="N23" s="2117"/>
      <c r="O23" s="2126"/>
      <c r="P23" s="3511"/>
      <c r="Q23" s="1558" t="str">
        <f>B23</f>
        <v>交通便捷度</v>
      </c>
      <c r="R23" s="1559" t="s">
        <v>8</v>
      </c>
      <c r="S23" s="1560">
        <f>F23</f>
        <v>98</v>
      </c>
      <c r="T23" s="1559" t="s">
        <v>8</v>
      </c>
      <c r="U23" s="1560">
        <f>H23</f>
        <v>98</v>
      </c>
      <c r="V23" s="1559" t="s">
        <v>8</v>
      </c>
      <c r="W23" s="1560">
        <f>J23</f>
        <v>98</v>
      </c>
      <c r="X23" s="1553"/>
      <c r="Y23" s="3511"/>
      <c r="Z23" s="1561" t="str">
        <f>Q23</f>
        <v>交通便捷度</v>
      </c>
      <c r="AA23" s="1562">
        <f t="shared" si="3"/>
        <v>1.0204081632653061</v>
      </c>
      <c r="AB23" s="1562">
        <f t="shared" si="4"/>
        <v>1.0204081632653061</v>
      </c>
      <c r="AC23" s="1562">
        <f t="shared" si="5"/>
        <v>1.0204081632653061</v>
      </c>
    </row>
    <row r="24" spans="1:29" ht="21" thickBot="1">
      <c r="A24" s="532"/>
      <c r="B24" s="578"/>
      <c r="C24" s="554" t="s">
        <v>3378</v>
      </c>
      <c r="D24" s="557"/>
      <c r="E24" s="554" t="s">
        <v>3392</v>
      </c>
      <c r="F24" s="555"/>
      <c r="G24" s="554" t="s">
        <v>3392</v>
      </c>
      <c r="H24" s="555"/>
      <c r="I24" s="554" t="s">
        <v>3392</v>
      </c>
      <c r="J24" s="555"/>
      <c r="K24" s="531"/>
      <c r="L24" s="2127"/>
      <c r="M24" s="2117"/>
      <c r="N24" s="2117"/>
      <c r="O24" s="2126"/>
      <c r="P24" s="3511"/>
      <c r="Q24" s="1558"/>
      <c r="R24" s="1559"/>
      <c r="S24" s="1560"/>
      <c r="T24" s="1559"/>
      <c r="U24" s="1560"/>
      <c r="V24" s="1559"/>
      <c r="W24" s="1560"/>
      <c r="X24" s="1553"/>
      <c r="Y24" s="3511"/>
      <c r="Z24" s="1561"/>
      <c r="AA24" s="1562">
        <v>1</v>
      </c>
      <c r="AB24" s="1562">
        <v>1</v>
      </c>
      <c r="AC24" s="1562">
        <v>1</v>
      </c>
    </row>
    <row r="25" spans="1:29" ht="27">
      <c r="A25" s="515"/>
      <c r="B25" s="259" t="s">
        <v>543</v>
      </c>
      <c r="C25" s="573" t="str">
        <f>估价对象房地状况!C19</f>
        <v>较好</v>
      </c>
      <c r="D25" s="563">
        <v>100</v>
      </c>
      <c r="E25" s="3273" t="s">
        <v>3571</v>
      </c>
      <c r="F25" s="565">
        <f>SUMIF(98:98,E26,99:99)-SUMIF(98:98,C26,99:99)+100</f>
        <v>100</v>
      </c>
      <c r="G25" s="3273" t="s">
        <v>3571</v>
      </c>
      <c r="H25" s="559">
        <f>SUMIF(98:98,G26,99:99)-SUMIF(98:98,C26,99:99)+100</f>
        <v>100</v>
      </c>
      <c r="I25" s="3273" t="s">
        <v>3571</v>
      </c>
      <c r="J25" s="559">
        <f>SUMIF(98:98,I26,99:99)-SUMIF(98:98,C26,99:99)+100</f>
        <v>100</v>
      </c>
      <c r="K25" s="535">
        <v>2</v>
      </c>
      <c r="L25" s="2127"/>
      <c r="M25" s="2117"/>
      <c r="N25" s="2117"/>
      <c r="O25" s="2126"/>
      <c r="P25" s="3511"/>
      <c r="Q25" s="1558" t="str">
        <f t="shared" ref="Q25:Q39" si="8">B25</f>
        <v>区域土地利用方向</v>
      </c>
      <c r="R25" s="1559" t="s">
        <v>8</v>
      </c>
      <c r="S25" s="1560">
        <f>F25</f>
        <v>100</v>
      </c>
      <c r="T25" s="1559" t="s">
        <v>8</v>
      </c>
      <c r="U25" s="1560">
        <f>H25</f>
        <v>100</v>
      </c>
      <c r="V25" s="1559" t="s">
        <v>8</v>
      </c>
      <c r="W25" s="1560">
        <f>J25</f>
        <v>100</v>
      </c>
      <c r="X25" s="1553"/>
      <c r="Y25" s="3511"/>
      <c r="Z25" s="1561" t="str">
        <f>Q25</f>
        <v>区域土地利用方向</v>
      </c>
      <c r="AA25" s="1562">
        <f t="shared" si="3"/>
        <v>1</v>
      </c>
      <c r="AB25" s="1562">
        <f t="shared" si="4"/>
        <v>1</v>
      </c>
      <c r="AC25" s="1562">
        <f t="shared" si="5"/>
        <v>1</v>
      </c>
    </row>
    <row r="26" spans="1:29" ht="21" thickBot="1">
      <c r="A26" s="515"/>
      <c r="B26" s="1006"/>
      <c r="C26" s="554" t="s">
        <v>3378</v>
      </c>
      <c r="D26" s="557"/>
      <c r="E26" s="554" t="s">
        <v>3378</v>
      </c>
      <c r="F26" s="555"/>
      <c r="G26" s="554" t="s">
        <v>3378</v>
      </c>
      <c r="H26" s="555"/>
      <c r="I26" s="554" t="s">
        <v>3378</v>
      </c>
      <c r="J26" s="555"/>
      <c r="K26" s="531"/>
      <c r="L26" s="2127"/>
      <c r="M26" s="2117"/>
      <c r="N26" s="2117"/>
      <c r="O26" s="2126"/>
      <c r="P26" s="3511"/>
      <c r="Q26" s="1558"/>
      <c r="R26" s="1559"/>
      <c r="S26" s="1560"/>
      <c r="T26" s="1559"/>
      <c r="U26" s="1560"/>
      <c r="V26" s="1559"/>
      <c r="W26" s="1560"/>
      <c r="X26" s="1553"/>
      <c r="Y26" s="3511"/>
      <c r="Z26" s="1561"/>
      <c r="AA26" s="1562"/>
      <c r="AB26" s="1562"/>
      <c r="AC26" s="1562"/>
    </row>
    <row r="27" spans="1:29" ht="27">
      <c r="A27" s="515"/>
      <c r="B27" s="578" t="s">
        <v>544</v>
      </c>
      <c r="C27" s="561" t="str">
        <f>估价对象房地状况!C20</f>
        <v>好</v>
      </c>
      <c r="D27" s="563">
        <v>100</v>
      </c>
      <c r="E27" s="3273" t="s">
        <v>3571</v>
      </c>
      <c r="F27" s="559">
        <f>SUMIF(100:100,E28,101:101)-SUMIF(100:100,C28,101:101)+100</f>
        <v>95</v>
      </c>
      <c r="G27" s="3273" t="s">
        <v>3571</v>
      </c>
      <c r="H27" s="559">
        <f>SUMIF(100:100,G28,101:101)-SUMIF(100:100,C28,101:101)+100</f>
        <v>95</v>
      </c>
      <c r="I27" s="3273" t="s">
        <v>3571</v>
      </c>
      <c r="J27" s="559">
        <f>SUMIF(100:100,I28,101:101)-SUMIF(100:100,C28,101:101)+100</f>
        <v>95</v>
      </c>
      <c r="K27" s="535">
        <v>5</v>
      </c>
      <c r="L27" s="2127"/>
      <c r="M27" s="2117"/>
      <c r="N27" s="2117"/>
      <c r="O27" s="2126"/>
      <c r="P27" s="3511"/>
      <c r="Q27" s="1558" t="str">
        <f t="shared" si="8"/>
        <v>自然及人文环境状况</v>
      </c>
      <c r="R27" s="1559" t="s">
        <v>8</v>
      </c>
      <c r="S27" s="1560">
        <f>F27</f>
        <v>95</v>
      </c>
      <c r="T27" s="1559" t="s">
        <v>8</v>
      </c>
      <c r="U27" s="1560">
        <f>H27</f>
        <v>95</v>
      </c>
      <c r="V27" s="1559" t="s">
        <v>8</v>
      </c>
      <c r="W27" s="1560">
        <f>J27</f>
        <v>95</v>
      </c>
      <c r="X27" s="1553"/>
      <c r="Y27" s="3511"/>
      <c r="Z27" s="1561" t="str">
        <f>Q27</f>
        <v>自然及人文环境状况</v>
      </c>
      <c r="AA27" s="1562">
        <f t="shared" si="3"/>
        <v>1.0526315789473684</v>
      </c>
      <c r="AB27" s="1562">
        <f t="shared" si="4"/>
        <v>1.0526315789473684</v>
      </c>
      <c r="AC27" s="1562">
        <f t="shared" si="5"/>
        <v>1.0526315789473684</v>
      </c>
    </row>
    <row r="28" spans="1:29" ht="21" thickBot="1">
      <c r="A28" s="515"/>
      <c r="B28" s="566"/>
      <c r="C28" s="554" t="s">
        <v>3391</v>
      </c>
      <c r="D28" s="557"/>
      <c r="E28" s="554" t="s">
        <v>3378</v>
      </c>
      <c r="F28" s="555"/>
      <c r="G28" s="554" t="s">
        <v>3378</v>
      </c>
      <c r="H28" s="555"/>
      <c r="I28" s="554" t="s">
        <v>3378</v>
      </c>
      <c r="J28" s="555"/>
      <c r="K28" s="531"/>
      <c r="L28" s="2127"/>
      <c r="M28" s="2117"/>
      <c r="N28" s="2117"/>
      <c r="O28" s="2126"/>
      <c r="P28" s="3511"/>
      <c r="Q28" s="1558"/>
      <c r="R28" s="1559"/>
      <c r="S28" s="1560"/>
      <c r="T28" s="1559"/>
      <c r="U28" s="1560"/>
      <c r="V28" s="1559"/>
      <c r="W28" s="1560"/>
      <c r="X28" s="1553"/>
      <c r="Y28" s="3511"/>
      <c r="Z28" s="1561"/>
      <c r="AA28" s="1562">
        <v>1</v>
      </c>
      <c r="AB28" s="1562">
        <v>1</v>
      </c>
      <c r="AC28" s="1562">
        <v>1</v>
      </c>
    </row>
    <row r="29" spans="1:29" s="1215" customFormat="1" ht="20.25">
      <c r="A29" s="577"/>
      <c r="B29" s="2555" t="s">
        <v>2541</v>
      </c>
      <c r="C29" s="573" t="str">
        <f>估价对象房地状况!C21</f>
        <v>一般</v>
      </c>
      <c r="D29" s="563">
        <v>100</v>
      </c>
      <c r="E29" s="3272" t="s">
        <v>3570</v>
      </c>
      <c r="F29" s="559">
        <f>SUMIF(102:102,E30,103:103)-SUMIF(102:102,C30,103:103)+100</f>
        <v>100</v>
      </c>
      <c r="G29" s="3273" t="s">
        <v>3571</v>
      </c>
      <c r="H29" s="559">
        <f>SUMIF(102:102,G30,103:103)-SUMIF(102:102,C30,103:103)+100</f>
        <v>102</v>
      </c>
      <c r="I29" s="3273" t="s">
        <v>3571</v>
      </c>
      <c r="J29" s="559">
        <f>SUMIF(102:102,I30,103:103)-SUMIF(102:102,C30,103:103)+100</f>
        <v>102</v>
      </c>
      <c r="K29" s="535">
        <v>2</v>
      </c>
      <c r="L29" s="2120"/>
      <c r="M29" s="2117"/>
      <c r="N29" s="2117"/>
      <c r="O29" s="2122"/>
      <c r="P29" s="3511"/>
      <c r="Q29" s="1146" t="str">
        <f t="shared" si="8"/>
        <v>公共配套设施</v>
      </c>
      <c r="R29" s="1554" t="s">
        <v>8</v>
      </c>
      <c r="S29" s="1555">
        <f>F29</f>
        <v>100</v>
      </c>
      <c r="T29" s="1554" t="s">
        <v>8</v>
      </c>
      <c r="U29" s="1555">
        <f>H29</f>
        <v>102</v>
      </c>
      <c r="V29" s="1554" t="s">
        <v>8</v>
      </c>
      <c r="W29" s="1555">
        <f>J29</f>
        <v>102</v>
      </c>
      <c r="X29" s="1556"/>
      <c r="Y29" s="3511"/>
      <c r="Z29" s="1145" t="str">
        <f>Q29</f>
        <v>公共配套设施</v>
      </c>
      <c r="AA29" s="1562">
        <f>D29/F29</f>
        <v>1</v>
      </c>
      <c r="AB29" s="1562">
        <f>D29/H29</f>
        <v>0.98039215686274506</v>
      </c>
      <c r="AC29" s="1562">
        <f>D29/J29</f>
        <v>0.98039215686274506</v>
      </c>
    </row>
    <row r="30" spans="1:29" s="1215" customFormat="1" ht="20.25">
      <c r="A30" s="577"/>
      <c r="B30" s="566"/>
      <c r="C30" s="579" t="s">
        <v>3392</v>
      </c>
      <c r="D30" s="557"/>
      <c r="E30" s="579" t="s">
        <v>3392</v>
      </c>
      <c r="F30" s="555"/>
      <c r="G30" s="579" t="s">
        <v>3378</v>
      </c>
      <c r="H30" s="555"/>
      <c r="I30" s="579" t="s">
        <v>3378</v>
      </c>
      <c r="J30" s="555"/>
      <c r="K30" s="531"/>
      <c r="L30" s="2120"/>
      <c r="M30" s="2117"/>
      <c r="N30" s="2117"/>
      <c r="O30" s="2122"/>
      <c r="P30" s="3511"/>
      <c r="Q30" s="1146"/>
      <c r="R30" s="1554"/>
      <c r="S30" s="1555"/>
      <c r="T30" s="1554"/>
      <c r="U30" s="1555"/>
      <c r="V30" s="1554"/>
      <c r="W30" s="1555"/>
      <c r="X30" s="1556"/>
      <c r="Y30" s="3511"/>
      <c r="Z30" s="1145"/>
      <c r="AA30" s="1562">
        <v>1</v>
      </c>
      <c r="AB30" s="1562">
        <v>1</v>
      </c>
      <c r="AC30" s="1562">
        <v>1</v>
      </c>
    </row>
    <row r="31" spans="1:29" s="1215" customFormat="1" ht="20.25">
      <c r="A31" s="577"/>
      <c r="B31" s="2555" t="s">
        <v>2542</v>
      </c>
      <c r="C31" s="573" t="str">
        <f>估价对象房地状况!C22</f>
        <v>六通</v>
      </c>
      <c r="D31" s="563">
        <v>100</v>
      </c>
      <c r="E31" s="3274" t="s">
        <v>3572</v>
      </c>
      <c r="F31" s="559">
        <f>SUMIF(104:104,E32,105:105)-SUMIF(104:104,C32,105:105)+100</f>
        <v>100</v>
      </c>
      <c r="G31" s="3274" t="s">
        <v>3572</v>
      </c>
      <c r="H31" s="559">
        <f>SUMIF(104:104,G32,105:105)-SUMIF(104:104,C32,105:105)+100</f>
        <v>100</v>
      </c>
      <c r="I31" s="3274" t="s">
        <v>3572</v>
      </c>
      <c r="J31" s="559">
        <f>SUMIF(104:104,I32,105:105)-SUMIF(104:104,C32,105:105)+100</f>
        <v>100</v>
      </c>
      <c r="K31" s="535">
        <v>1</v>
      </c>
      <c r="L31" s="2120"/>
      <c r="M31" s="2117"/>
      <c r="N31" s="2117"/>
      <c r="O31" s="2122"/>
      <c r="P31" s="3511"/>
      <c r="Q31" s="2542" t="str">
        <f t="shared" ref="Q31" si="9">B31</f>
        <v>基础设施水平</v>
      </c>
      <c r="R31" s="1554" t="s">
        <v>8</v>
      </c>
      <c r="S31" s="1555">
        <f>F31</f>
        <v>100</v>
      </c>
      <c r="T31" s="1554" t="s">
        <v>8</v>
      </c>
      <c r="U31" s="1555">
        <f>H31</f>
        <v>100</v>
      </c>
      <c r="V31" s="1554" t="s">
        <v>8</v>
      </c>
      <c r="W31" s="1555">
        <f>J31</f>
        <v>100</v>
      </c>
      <c r="X31" s="1556"/>
      <c r="Y31" s="3511"/>
      <c r="Z31" s="2539" t="str">
        <f>Q31</f>
        <v>基础设施水平</v>
      </c>
      <c r="AA31" s="1562">
        <f>D31/F31</f>
        <v>1</v>
      </c>
      <c r="AB31" s="1562">
        <f>D31/H31</f>
        <v>1</v>
      </c>
      <c r="AC31" s="1562">
        <f>D31/J31</f>
        <v>1</v>
      </c>
    </row>
    <row r="32" spans="1:29" s="1215" customFormat="1" ht="21" thickBot="1">
      <c r="A32" s="577"/>
      <c r="B32" s="566"/>
      <c r="C32" s="579" t="s">
        <v>3379</v>
      </c>
      <c r="D32" s="557"/>
      <c r="E32" s="579" t="s">
        <v>3379</v>
      </c>
      <c r="F32" s="555"/>
      <c r="G32" s="579" t="s">
        <v>3379</v>
      </c>
      <c r="H32" s="555"/>
      <c r="I32" s="579" t="s">
        <v>3379</v>
      </c>
      <c r="J32" s="555"/>
      <c r="K32" s="531"/>
      <c r="L32" s="2120"/>
      <c r="M32" s="2117"/>
      <c r="N32" s="2117"/>
      <c r="O32" s="2122"/>
      <c r="P32" s="3511"/>
      <c r="Q32" s="2542"/>
      <c r="R32" s="1554"/>
      <c r="S32" s="1555"/>
      <c r="T32" s="1554"/>
      <c r="U32" s="1555"/>
      <c r="V32" s="1554"/>
      <c r="W32" s="1555"/>
      <c r="X32" s="1556"/>
      <c r="Y32" s="3511"/>
      <c r="Z32" s="2539"/>
      <c r="AA32" s="1562">
        <v>1</v>
      </c>
      <c r="AB32" s="1562">
        <v>1</v>
      </c>
      <c r="AC32" s="1562">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51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511"/>
      <c r="Z33" s="1561" t="str">
        <f t="shared" ref="Z33:Z47" si="13">Q33</f>
        <v>临街状况</v>
      </c>
      <c r="AA33" s="1562">
        <f t="shared" si="3"/>
        <v>1</v>
      </c>
      <c r="AB33" s="1562">
        <f t="shared" si="4"/>
        <v>1</v>
      </c>
      <c r="AC33" s="156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511"/>
      <c r="Q34" s="1558" t="str">
        <f t="shared" si="8"/>
        <v>毗邻道路的类型与等级</v>
      </c>
      <c r="R34" s="1559" t="s">
        <v>8</v>
      </c>
      <c r="S34" s="1560">
        <f t="shared" si="10"/>
        <v>100</v>
      </c>
      <c r="T34" s="1559" t="s">
        <v>8</v>
      </c>
      <c r="U34" s="1560">
        <f t="shared" si="11"/>
        <v>100</v>
      </c>
      <c r="V34" s="1559" t="s">
        <v>8</v>
      </c>
      <c r="W34" s="1560">
        <f t="shared" si="12"/>
        <v>100</v>
      </c>
      <c r="X34" s="1553"/>
      <c r="Y34" s="3511"/>
      <c r="Z34" s="1561" t="str">
        <f t="shared" si="13"/>
        <v>毗邻道路的类型与等级</v>
      </c>
      <c r="AA34" s="1562">
        <f t="shared" si="3"/>
        <v>1</v>
      </c>
      <c r="AB34" s="1562">
        <f t="shared" si="4"/>
        <v>1</v>
      </c>
      <c r="AC34" s="1562">
        <f t="shared" si="5"/>
        <v>1</v>
      </c>
    </row>
    <row r="35" spans="1:29" ht="20.25" hidden="1">
      <c r="A35" s="532"/>
      <c r="B35" s="566"/>
      <c r="C35" s="554"/>
      <c r="D35" s="557"/>
      <c r="E35" s="576"/>
      <c r="F35" s="555"/>
      <c r="G35" s="554"/>
      <c r="H35" s="555"/>
      <c r="I35" s="576"/>
      <c r="J35" s="555"/>
      <c r="K35" s="581"/>
      <c r="L35" s="2127"/>
      <c r="M35" s="2117"/>
      <c r="N35" s="2117"/>
      <c r="O35" s="2126"/>
      <c r="P35" s="3511"/>
      <c r="Q35" s="1558"/>
      <c r="R35" s="1559"/>
      <c r="S35" s="1560"/>
      <c r="T35" s="1559"/>
      <c r="U35" s="1560"/>
      <c r="V35" s="1559"/>
      <c r="W35" s="1560"/>
      <c r="X35" s="1553"/>
      <c r="Y35" s="3511"/>
      <c r="Z35" s="1561"/>
      <c r="AA35" s="1562">
        <v>1</v>
      </c>
      <c r="AB35" s="1562">
        <v>1</v>
      </c>
      <c r="AC35" s="156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511"/>
      <c r="Q36" s="1558" t="str">
        <f t="shared" si="8"/>
        <v>土地级别</v>
      </c>
      <c r="R36" s="1559" t="s">
        <v>8</v>
      </c>
      <c r="S36" s="1560">
        <f t="shared" si="10"/>
        <v>100</v>
      </c>
      <c r="T36" s="1559" t="s">
        <v>8</v>
      </c>
      <c r="U36" s="1560">
        <f t="shared" si="11"/>
        <v>100</v>
      </c>
      <c r="V36" s="1559" t="s">
        <v>8</v>
      </c>
      <c r="W36" s="1560">
        <f t="shared" si="12"/>
        <v>100</v>
      </c>
      <c r="X36" s="1553"/>
      <c r="Y36" s="3511"/>
      <c r="Z36" s="1561" t="str">
        <f t="shared" si="13"/>
        <v>土地级别</v>
      </c>
      <c r="AA36" s="1562">
        <f t="shared" si="3"/>
        <v>1</v>
      </c>
      <c r="AB36" s="1562">
        <f t="shared" si="4"/>
        <v>1</v>
      </c>
      <c r="AC36" s="156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511"/>
      <c r="Q37" s="1558">
        <f t="shared" si="8"/>
        <v>111</v>
      </c>
      <c r="R37" s="1559" t="s">
        <v>8</v>
      </c>
      <c r="S37" s="1560">
        <f t="shared" si="10"/>
        <v>100</v>
      </c>
      <c r="T37" s="1559" t="s">
        <v>8</v>
      </c>
      <c r="U37" s="1560">
        <f t="shared" si="11"/>
        <v>100</v>
      </c>
      <c r="V37" s="1559" t="s">
        <v>8</v>
      </c>
      <c r="W37" s="1560">
        <f t="shared" si="12"/>
        <v>100</v>
      </c>
      <c r="X37" s="1553"/>
      <c r="Y37" s="3511"/>
      <c r="Z37" s="1561">
        <f t="shared" si="13"/>
        <v>111</v>
      </c>
      <c r="AA37" s="1562">
        <f t="shared" si="3"/>
        <v>1</v>
      </c>
      <c r="AB37" s="1562">
        <f t="shared" si="4"/>
        <v>1</v>
      </c>
      <c r="AC37" s="156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512" t="s">
        <v>549</v>
      </c>
      <c r="Q38" s="1558">
        <f t="shared" si="8"/>
        <v>111</v>
      </c>
      <c r="R38" s="1559" t="s">
        <v>8</v>
      </c>
      <c r="S38" s="1560">
        <f t="shared" si="10"/>
        <v>100</v>
      </c>
      <c r="T38" s="1559" t="s">
        <v>8</v>
      </c>
      <c r="U38" s="1560">
        <f t="shared" si="11"/>
        <v>100</v>
      </c>
      <c r="V38" s="1559" t="s">
        <v>8</v>
      </c>
      <c r="W38" s="1560">
        <f t="shared" si="12"/>
        <v>100</v>
      </c>
      <c r="X38" s="1553"/>
      <c r="Y38" s="3513" t="s">
        <v>549</v>
      </c>
      <c r="Z38" s="1561">
        <f t="shared" si="13"/>
        <v>111</v>
      </c>
      <c r="AA38" s="1562">
        <f t="shared" si="3"/>
        <v>1</v>
      </c>
      <c r="AB38" s="1562">
        <f t="shared" si="4"/>
        <v>1</v>
      </c>
      <c r="AC38" s="1562">
        <f t="shared" si="5"/>
        <v>1</v>
      </c>
    </row>
    <row r="39" spans="1:29" s="1334"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513"/>
      <c r="Q39" s="1558">
        <f t="shared" si="8"/>
        <v>111</v>
      </c>
      <c r="R39" s="1563" t="s">
        <v>8</v>
      </c>
      <c r="S39" s="1564">
        <f t="shared" si="10"/>
        <v>100</v>
      </c>
      <c r="T39" s="1563" t="s">
        <v>8</v>
      </c>
      <c r="U39" s="1564">
        <f t="shared" si="11"/>
        <v>100</v>
      </c>
      <c r="V39" s="1563" t="s">
        <v>8</v>
      </c>
      <c r="W39" s="1564">
        <f t="shared" si="12"/>
        <v>100</v>
      </c>
      <c r="X39" s="1565"/>
      <c r="Y39" s="3513"/>
      <c r="Z39" s="1566">
        <f t="shared" si="13"/>
        <v>111</v>
      </c>
      <c r="AA39" s="1562">
        <f t="shared" si="3"/>
        <v>1</v>
      </c>
      <c r="AB39" s="1562">
        <f t="shared" si="4"/>
        <v>1</v>
      </c>
      <c r="AC39" s="1562">
        <f t="shared" si="5"/>
        <v>1</v>
      </c>
    </row>
    <row r="40" spans="1:29" ht="20.25">
      <c r="A40" s="2862" t="s">
        <v>2748</v>
      </c>
      <c r="B40" s="595" t="s">
        <v>551</v>
      </c>
      <c r="C40" s="596">
        <f>'数据-汇总表'!D3</f>
        <v>77285.8</v>
      </c>
      <c r="D40" s="597">
        <v>100</v>
      </c>
      <c r="E40" s="596">
        <f>土地案例!J2</f>
        <v>11560.74</v>
      </c>
      <c r="F40" s="597">
        <f>LOOKUP(E40,119:119,120:120)-LOOKUP(C40,119:119,120:120)+100</f>
        <v>94</v>
      </c>
      <c r="G40" s="596">
        <f>土地案例!J3</f>
        <v>36292.43</v>
      </c>
      <c r="H40" s="597">
        <f>LOOKUP(G40,119:119,120:120)-LOOKUP(C40,119:119,120:120)+100</f>
        <v>96</v>
      </c>
      <c r="I40" s="598">
        <f>土地案例!J4</f>
        <v>41149.199999999997</v>
      </c>
      <c r="J40" s="597">
        <f>LOOKUP(I40,119:119,120:120)-LOOKUP(C40,119:119,120:120)+100</f>
        <v>97</v>
      </c>
      <c r="K40" s="581"/>
      <c r="L40" s="2127"/>
      <c r="M40" s="2117"/>
      <c r="N40" s="2117"/>
      <c r="O40" s="2126"/>
      <c r="P40" s="3513"/>
      <c r="Q40" s="1558" t="str">
        <f>B40</f>
        <v>宗地面积</v>
      </c>
      <c r="R40" s="1559" t="s">
        <v>8</v>
      </c>
      <c r="S40" s="1560">
        <f t="shared" si="10"/>
        <v>94</v>
      </c>
      <c r="T40" s="1559" t="s">
        <v>8</v>
      </c>
      <c r="U40" s="1560">
        <f t="shared" si="11"/>
        <v>96</v>
      </c>
      <c r="V40" s="1559" t="s">
        <v>8</v>
      </c>
      <c r="W40" s="1560">
        <f t="shared" si="12"/>
        <v>97</v>
      </c>
      <c r="X40" s="1553"/>
      <c r="Y40" s="3513"/>
      <c r="Z40" s="1561" t="str">
        <f t="shared" si="13"/>
        <v>宗地面积</v>
      </c>
      <c r="AA40" s="1562">
        <f t="shared" si="3"/>
        <v>1.0638297872340425</v>
      </c>
      <c r="AB40" s="1562">
        <f t="shared" si="4"/>
        <v>1.0416666666666667</v>
      </c>
      <c r="AC40" s="1562">
        <f t="shared" si="5"/>
        <v>1.0309278350515463</v>
      </c>
    </row>
    <row r="41" spans="1:29" ht="20.25">
      <c r="A41" s="594"/>
      <c r="B41" s="527" t="s">
        <v>552</v>
      </c>
      <c r="C41" s="599" t="s">
        <v>3381</v>
      </c>
      <c r="D41" s="540">
        <v>100</v>
      </c>
      <c r="E41" s="599" t="s">
        <v>3381</v>
      </c>
      <c r="F41" s="540">
        <f>SUMIF(121:121,E41,122:122)-SUMIF(121:121,C41,122:122)+100</f>
        <v>100</v>
      </c>
      <c r="G41" s="599" t="s">
        <v>3381</v>
      </c>
      <c r="H41" s="540">
        <f>SUMIF(121:121,G41,122:122)-SUMIF(121:121,C41,122:122)+100</f>
        <v>100</v>
      </c>
      <c r="I41" s="599" t="s">
        <v>3381</v>
      </c>
      <c r="J41" s="540">
        <f>SUMIF(121:121,I41,122:122)-SUMIF(121:121,C41,122:122)+100</f>
        <v>100</v>
      </c>
      <c r="K41" s="584">
        <v>2</v>
      </c>
      <c r="L41" s="2127"/>
      <c r="M41" s="2117"/>
      <c r="N41" s="2117"/>
      <c r="O41" s="2126"/>
      <c r="P41" s="3513"/>
      <c r="Q41" s="1558" t="str">
        <f t="shared" ref="Q41:Q47" si="14">B41</f>
        <v>宗地形状</v>
      </c>
      <c r="R41" s="1559" t="s">
        <v>8</v>
      </c>
      <c r="S41" s="1560">
        <f t="shared" si="10"/>
        <v>100</v>
      </c>
      <c r="T41" s="1559" t="s">
        <v>8</v>
      </c>
      <c r="U41" s="1560">
        <f t="shared" si="11"/>
        <v>100</v>
      </c>
      <c r="V41" s="1559" t="s">
        <v>8</v>
      </c>
      <c r="W41" s="1560">
        <f t="shared" si="12"/>
        <v>100</v>
      </c>
      <c r="X41" s="1553"/>
      <c r="Y41" s="3513"/>
      <c r="Z41" s="1561" t="str">
        <f t="shared" si="13"/>
        <v>宗地形状</v>
      </c>
      <c r="AA41" s="1562">
        <f t="shared" si="3"/>
        <v>1</v>
      </c>
      <c r="AB41" s="1562">
        <f t="shared" si="4"/>
        <v>1</v>
      </c>
      <c r="AC41" s="1562">
        <f t="shared" si="5"/>
        <v>1</v>
      </c>
    </row>
    <row r="42" spans="1:29" ht="20.25">
      <c r="A42" s="594"/>
      <c r="B42" s="527" t="s">
        <v>553</v>
      </c>
      <c r="C42" s="599" t="s">
        <v>3385</v>
      </c>
      <c r="D42" s="540">
        <v>100</v>
      </c>
      <c r="E42" s="599" t="s">
        <v>3385</v>
      </c>
      <c r="F42" s="540">
        <f>SUMIF(123:123,E42,124:124)-SUMIF(123:123,C42,124:124)+100</f>
        <v>100</v>
      </c>
      <c r="G42" s="599" t="s">
        <v>3385</v>
      </c>
      <c r="H42" s="540">
        <f>SUMIF(123:123,G42,124:124)-SUMIF(123:123,C42,124:124)+100</f>
        <v>100</v>
      </c>
      <c r="I42" s="599" t="s">
        <v>3385</v>
      </c>
      <c r="J42" s="540">
        <f>SUMIF(123:123,I42,124:124)-SUMIF(123:123,C42,124:124)+100</f>
        <v>100</v>
      </c>
      <c r="K42" s="584">
        <v>2</v>
      </c>
      <c r="L42" s="2127"/>
      <c r="M42" s="2117"/>
      <c r="N42" s="2117"/>
      <c r="O42" s="2126"/>
      <c r="P42" s="3513"/>
      <c r="Q42" s="1558" t="str">
        <f t="shared" si="14"/>
        <v>临街宽度及深度</v>
      </c>
      <c r="R42" s="1559" t="s">
        <v>8</v>
      </c>
      <c r="S42" s="1560">
        <f t="shared" si="10"/>
        <v>100</v>
      </c>
      <c r="T42" s="1559" t="s">
        <v>8</v>
      </c>
      <c r="U42" s="1560">
        <f t="shared" si="11"/>
        <v>100</v>
      </c>
      <c r="V42" s="1559" t="s">
        <v>8</v>
      </c>
      <c r="W42" s="1560">
        <f t="shared" si="12"/>
        <v>100</v>
      </c>
      <c r="X42" s="1553"/>
      <c r="Y42" s="3513"/>
      <c r="Z42" s="1561" t="str">
        <f t="shared" si="13"/>
        <v>临街宽度及深度</v>
      </c>
      <c r="AA42" s="1562">
        <f t="shared" si="3"/>
        <v>1</v>
      </c>
      <c r="AB42" s="1562">
        <f t="shared" si="4"/>
        <v>1</v>
      </c>
      <c r="AC42" s="1562">
        <f t="shared" si="5"/>
        <v>1</v>
      </c>
    </row>
    <row r="43" spans="1:29" s="1215" customFormat="1" ht="20.25">
      <c r="A43" s="600"/>
      <c r="B43" s="1880" t="s">
        <v>2418</v>
      </c>
      <c r="C43" s="601" t="s">
        <v>3390</v>
      </c>
      <c r="D43" s="255">
        <v>100</v>
      </c>
      <c r="E43" s="601" t="s">
        <v>3390</v>
      </c>
      <c r="F43" s="540">
        <f>SUMIF(125:125,E43,126:126)-SUMIF(125:125,C43,126:126)+100</f>
        <v>100</v>
      </c>
      <c r="G43" s="601" t="s">
        <v>3390</v>
      </c>
      <c r="H43" s="540">
        <f>SUMIF(125:125,G43,126:126)-SUMIF(125:125,C43,126:126)+100</f>
        <v>100</v>
      </c>
      <c r="I43" s="601" t="s">
        <v>3390</v>
      </c>
      <c r="J43" s="540">
        <f>SUMIF(125:125,I43,126:126)-SUMIF(125:125,C43,126:126)+100</f>
        <v>100</v>
      </c>
      <c r="K43" s="584">
        <v>1</v>
      </c>
      <c r="L43" s="2120"/>
      <c r="M43" s="2117"/>
      <c r="N43" s="2117"/>
      <c r="O43" s="2122"/>
      <c r="P43" s="3513"/>
      <c r="Q43" s="1558" t="str">
        <f t="shared" si="14"/>
        <v>宗地开发程度</v>
      </c>
      <c r="R43" s="1554" t="s">
        <v>8</v>
      </c>
      <c r="S43" s="1555">
        <f t="shared" si="10"/>
        <v>100</v>
      </c>
      <c r="T43" s="1554" t="s">
        <v>8</v>
      </c>
      <c r="U43" s="1555">
        <f t="shared" si="11"/>
        <v>100</v>
      </c>
      <c r="V43" s="1554" t="s">
        <v>8</v>
      </c>
      <c r="W43" s="1555">
        <f t="shared" si="12"/>
        <v>100</v>
      </c>
      <c r="X43" s="1556"/>
      <c r="Y43" s="3513"/>
      <c r="Z43" s="1145" t="str">
        <f t="shared" si="13"/>
        <v>宗地开发程度</v>
      </c>
      <c r="AA43" s="1557">
        <f t="shared" si="3"/>
        <v>1</v>
      </c>
      <c r="AB43" s="1557">
        <f t="shared" si="4"/>
        <v>1</v>
      </c>
      <c r="AC43" s="1557">
        <f t="shared" si="5"/>
        <v>1</v>
      </c>
    </row>
    <row r="44" spans="1:29" ht="21" thickBot="1">
      <c r="A44" s="594"/>
      <c r="B44" s="527" t="s">
        <v>554</v>
      </c>
      <c r="C44" s="599" t="s">
        <v>3378</v>
      </c>
      <c r="D44" s="540">
        <v>100</v>
      </c>
      <c r="E44" s="599" t="s">
        <v>3378</v>
      </c>
      <c r="F44" s="540">
        <f>SUMIF(127:127,E44,128:128)-SUMIF(127:127,C44,128:128)+100</f>
        <v>100</v>
      </c>
      <c r="G44" s="599" t="s">
        <v>3378</v>
      </c>
      <c r="H44" s="540">
        <f>SUMIF(127:127,G44,128:128)-SUMIF(127:127,C44,128:128)+100</f>
        <v>100</v>
      </c>
      <c r="I44" s="599" t="s">
        <v>3378</v>
      </c>
      <c r="J44" s="540">
        <f>SUMIF(127:127,I44,128:128)-SUMIF(127:127,C44,128:128)+100</f>
        <v>100</v>
      </c>
      <c r="K44" s="584">
        <v>2</v>
      </c>
      <c r="L44" s="2127"/>
      <c r="M44" s="2117"/>
      <c r="N44" s="2117"/>
      <c r="O44" s="2126"/>
      <c r="P44" s="3513" t="s">
        <v>549</v>
      </c>
      <c r="Q44" s="1558" t="str">
        <f t="shared" si="14"/>
        <v>工程地质条件</v>
      </c>
      <c r="R44" s="1559" t="s">
        <v>8</v>
      </c>
      <c r="S44" s="1560">
        <f t="shared" si="10"/>
        <v>100</v>
      </c>
      <c r="T44" s="1559" t="s">
        <v>8</v>
      </c>
      <c r="U44" s="1560">
        <f t="shared" si="11"/>
        <v>100</v>
      </c>
      <c r="V44" s="1559" t="s">
        <v>8</v>
      </c>
      <c r="W44" s="1560">
        <f t="shared" si="12"/>
        <v>100</v>
      </c>
      <c r="X44" s="1553"/>
      <c r="Y44" s="3513" t="s">
        <v>549</v>
      </c>
      <c r="Z44" s="1561" t="str">
        <f t="shared" si="13"/>
        <v>工程地质条件</v>
      </c>
      <c r="AA44" s="1562">
        <f t="shared" si="3"/>
        <v>1</v>
      </c>
      <c r="AB44" s="1562">
        <f t="shared" si="4"/>
        <v>1</v>
      </c>
      <c r="AC44" s="156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513"/>
      <c r="Q45" s="1558">
        <f t="shared" si="14"/>
        <v>111</v>
      </c>
      <c r="R45" s="1559" t="s">
        <v>8</v>
      </c>
      <c r="S45" s="1560">
        <f t="shared" si="10"/>
        <v>100</v>
      </c>
      <c r="T45" s="1559" t="s">
        <v>8</v>
      </c>
      <c r="U45" s="1560">
        <f t="shared" si="11"/>
        <v>100</v>
      </c>
      <c r="V45" s="1559" t="s">
        <v>8</v>
      </c>
      <c r="W45" s="1560">
        <f t="shared" si="12"/>
        <v>100</v>
      </c>
      <c r="X45" s="1553"/>
      <c r="Y45" s="3513"/>
      <c r="Z45" s="1561">
        <f t="shared" si="13"/>
        <v>111</v>
      </c>
      <c r="AA45" s="1562">
        <f t="shared" si="3"/>
        <v>1</v>
      </c>
      <c r="AB45" s="1562">
        <f t="shared" si="4"/>
        <v>1</v>
      </c>
      <c r="AC45" s="156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513"/>
      <c r="Q46" s="1558">
        <f t="shared" si="14"/>
        <v>111</v>
      </c>
      <c r="R46" s="1559" t="s">
        <v>8</v>
      </c>
      <c r="S46" s="1560">
        <f t="shared" si="10"/>
        <v>100</v>
      </c>
      <c r="T46" s="1559" t="s">
        <v>8</v>
      </c>
      <c r="U46" s="1560">
        <f t="shared" si="11"/>
        <v>100</v>
      </c>
      <c r="V46" s="1559" t="s">
        <v>8</v>
      </c>
      <c r="W46" s="1560">
        <f t="shared" si="12"/>
        <v>100</v>
      </c>
      <c r="X46" s="1553"/>
      <c r="Y46" s="3513"/>
      <c r="Z46" s="1561">
        <f t="shared" si="13"/>
        <v>111</v>
      </c>
      <c r="AA46" s="1562">
        <f t="shared" si="3"/>
        <v>1</v>
      </c>
      <c r="AB46" s="1562">
        <f t="shared" si="4"/>
        <v>1</v>
      </c>
      <c r="AC46" s="1562">
        <f t="shared" si="5"/>
        <v>1</v>
      </c>
    </row>
    <row r="47" spans="1:29" s="1334"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513"/>
      <c r="Q47" s="1558">
        <f t="shared" si="14"/>
        <v>111</v>
      </c>
      <c r="R47" s="1563" t="s">
        <v>8</v>
      </c>
      <c r="S47" s="1564">
        <f t="shared" si="10"/>
        <v>100</v>
      </c>
      <c r="T47" s="1563" t="s">
        <v>8</v>
      </c>
      <c r="U47" s="1564">
        <f t="shared" si="11"/>
        <v>100</v>
      </c>
      <c r="V47" s="1563" t="s">
        <v>8</v>
      </c>
      <c r="W47" s="1564">
        <f t="shared" si="12"/>
        <v>100</v>
      </c>
      <c r="X47" s="1565"/>
      <c r="Y47" s="3513"/>
      <c r="Z47" s="1566">
        <f t="shared" si="13"/>
        <v>111</v>
      </c>
      <c r="AA47" s="1562">
        <f t="shared" si="3"/>
        <v>1</v>
      </c>
      <c r="AB47" s="1562">
        <f t="shared" si="4"/>
        <v>1</v>
      </c>
      <c r="AC47" s="1562">
        <f t="shared" si="5"/>
        <v>1</v>
      </c>
    </row>
    <row r="48" spans="1:29" ht="20.25">
      <c r="A48" s="607" t="s">
        <v>555</v>
      </c>
      <c r="B48" s="608" t="s">
        <v>3451</v>
      </c>
      <c r="C48" s="609" t="s">
        <v>1</v>
      </c>
      <c r="D48" s="610"/>
      <c r="E48" s="611">
        <f>ROUND(土地案例!AK2,0)</f>
        <v>18381</v>
      </c>
      <c r="F48" s="612"/>
      <c r="G48" s="613">
        <f>ROUND(土地案例!AK3,0)</f>
        <v>19977</v>
      </c>
      <c r="H48" s="614"/>
      <c r="I48" s="611">
        <f>ROUND(土地案例!AK4,0)</f>
        <v>20802</v>
      </c>
      <c r="J48" s="614"/>
      <c r="K48" s="1335"/>
      <c r="L48" s="2129"/>
      <c r="M48" s="2117"/>
      <c r="N48" s="2117"/>
      <c r="O48" s="2130"/>
      <c r="P48" s="3476" t="str">
        <f>A48</f>
        <v>成交单价</v>
      </c>
      <c r="Q48" s="3476"/>
      <c r="R48" s="3477">
        <f>E48</f>
        <v>18381</v>
      </c>
      <c r="S48" s="3477"/>
      <c r="T48" s="3477">
        <f>G48</f>
        <v>19977</v>
      </c>
      <c r="U48" s="3477"/>
      <c r="V48" s="3477">
        <f>I48</f>
        <v>20802</v>
      </c>
      <c r="W48" s="3477"/>
      <c r="X48" s="1545"/>
      <c r="Y48" s="1567"/>
      <c r="Z48" s="1545"/>
      <c r="AA48" s="1545"/>
      <c r="AB48" s="1545"/>
      <c r="AC48" s="1545"/>
    </row>
    <row r="49" spans="1:29" ht="21" thickBot="1">
      <c r="A49" s="615" t="s">
        <v>2686</v>
      </c>
      <c r="B49" s="616"/>
      <c r="C49" s="617">
        <f>R50</f>
        <v>20918</v>
      </c>
      <c r="D49" s="618"/>
      <c r="E49" s="617">
        <f>R49</f>
        <v>20400</v>
      </c>
      <c r="F49" s="619"/>
      <c r="G49" s="620">
        <f>T49</f>
        <v>20858</v>
      </c>
      <c r="H49" s="618"/>
      <c r="I49" s="617">
        <f>V49</f>
        <v>21495</v>
      </c>
      <c r="J49" s="618"/>
      <c r="K49" s="1336"/>
      <c r="L49" s="2129"/>
      <c r="M49" s="2117"/>
      <c r="N49" s="2117"/>
      <c r="O49" s="2130"/>
      <c r="P49" s="3476" t="str">
        <f>A49</f>
        <v>比较价格（元/平方米）</v>
      </c>
      <c r="Q49" s="3476"/>
      <c r="R49" s="3478">
        <f>ROUND(PRODUCT(R48,AA9:AA47),0)</f>
        <v>20400</v>
      </c>
      <c r="S49" s="3478"/>
      <c r="T49" s="3478">
        <f>ROUND(PRODUCT(T48,AB9:AB47),0)</f>
        <v>20858</v>
      </c>
      <c r="U49" s="3478"/>
      <c r="V49" s="3478">
        <f>ROUND(PRODUCT(V48,AC9:AC47),0)</f>
        <v>21495</v>
      </c>
      <c r="W49" s="3478"/>
      <c r="X49" s="1545"/>
      <c r="Y49" s="1545"/>
      <c r="Z49" s="1545"/>
      <c r="AA49" s="1545"/>
      <c r="AB49" s="1545"/>
      <c r="AC49" s="1545"/>
    </row>
    <row r="50" spans="1:29" ht="21" thickBot="1">
      <c r="A50" s="621" t="s">
        <v>2922</v>
      </c>
      <c r="B50" s="622"/>
      <c r="C50" s="623">
        <f>R50</f>
        <v>20918</v>
      </c>
      <c r="D50" s="623"/>
      <c r="E50" s="623"/>
      <c r="F50" s="623"/>
      <c r="G50" s="623"/>
      <c r="H50" s="623"/>
      <c r="I50" s="623"/>
      <c r="J50" s="623"/>
      <c r="K50" s="1337"/>
      <c r="L50" s="2129"/>
      <c r="M50" s="2117"/>
      <c r="N50" s="2117"/>
      <c r="O50" s="2130"/>
      <c r="P50" s="3473" t="str">
        <f>A50</f>
        <v>估价对象XX用房的比较价格（楼面单价，元/平方米）</v>
      </c>
      <c r="Q50" s="3474"/>
      <c r="R50" s="3475">
        <f>ROUND(AVERAGE(R49:V49),0)</f>
        <v>20918</v>
      </c>
      <c r="S50" s="3475"/>
      <c r="T50" s="3475"/>
      <c r="U50" s="3475"/>
      <c r="V50" s="3475"/>
      <c r="W50" s="3475"/>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0.10984168434796793</v>
      </c>
      <c r="F53" s="627" t="str">
        <f>IF(OR(E53&gt;=0.3,E53&lt;=-0.3),"超过30%","")</f>
        <v/>
      </c>
      <c r="G53" s="626">
        <f>IF(G48&lt;G49,G49/G48-1,G48/G49-1)</f>
        <v>4.4100715823196746E-2</v>
      </c>
      <c r="H53" s="627" t="str">
        <f>IF(OR(G53&gt;=0.3,G53&lt;=-0.3),"超过30%","")</f>
        <v/>
      </c>
      <c r="I53" s="626">
        <f>IF(I48&lt;I49,I49/I48-1,I48/I49-1)</f>
        <v>3.3314104413037171E-2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2.2450980392156872E-2</v>
      </c>
      <c r="F54" s="627" t="str">
        <f>IF(OR(E54&gt;=0.2,E54&lt;=-0.2),"超过20%","")</f>
        <v/>
      </c>
      <c r="G54" s="626">
        <f>IF(G49&lt;I49,I49/G49-1,G49/I49-1)</f>
        <v>3.0539840828459175E-2</v>
      </c>
      <c r="H54" s="627" t="str">
        <f>IF(OR(G54&gt;=0.2,G54&lt;=-0.2),"超过20%","")</f>
        <v/>
      </c>
      <c r="I54" s="626">
        <f>IF(I49&lt;E49,E49/I49-1,I49/E49-1)</f>
        <v>5.3676470588235325E-2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f>IF(E48&lt;G48,G48/E48-1,E48/G48-1)</f>
        <v>8.6828790598988181E-2</v>
      </c>
      <c r="F55" s="627" t="str">
        <f>IF(OR(E55&gt;=0.3,E55&lt;=-0.3),"超过30%","")</f>
        <v/>
      </c>
      <c r="G55" s="626">
        <f>IF(G48&lt;I48,I48/G48-1,G48/I48-1)</f>
        <v>4.1297492115933254E-2</v>
      </c>
      <c r="H55" s="627" t="str">
        <f>IF(OR(G55&gt;=0.3,G55&lt;=-0.3),"超过30%","")</f>
        <v/>
      </c>
      <c r="I55" s="626">
        <f>IF(I48&lt;E48,E48/I48-1,I48/E48-1)</f>
        <v>0.13171209401011907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2289</v>
      </c>
      <c r="E57" s="631" t="s">
        <v>561</v>
      </c>
      <c r="F57" s="632" t="s">
        <v>562</v>
      </c>
      <c r="G57" s="3502" t="s">
        <v>2277</v>
      </c>
      <c r="H57" s="3503"/>
      <c r="I57" s="1541" t="s">
        <v>1721</v>
      </c>
      <c r="J57" s="1541" t="str">
        <f>项目基本情况!F41</f>
        <v>江苏省南京市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563</v>
      </c>
      <c r="B58" s="634">
        <f>C50</f>
        <v>20918</v>
      </c>
      <c r="C58" s="635">
        <v>1</v>
      </c>
      <c r="D58" s="2213">
        <v>1</v>
      </c>
      <c r="E58" s="635">
        <f>'数据-汇总表'!E8+'数据-汇总表'!E9</f>
        <v>215488.30000000002</v>
      </c>
      <c r="F58" s="636">
        <f t="shared" ref="F58:F67" si="15">ROUND(B58*E58/10000,0)</f>
        <v>450758</v>
      </c>
      <c r="G58" s="3504"/>
      <c r="H58" s="3505"/>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564</v>
      </c>
      <c r="B59" s="638">
        <f>ROUND($C$50*C59*D59,0)</f>
        <v>3661</v>
      </c>
      <c r="C59" s="378">
        <f t="shared" ref="C59:C67" si="16">IF($C$57="北京市系数",I59,J59)</f>
        <v>0.7</v>
      </c>
      <c r="D59" s="2214">
        <v>0.25</v>
      </c>
      <c r="E59" s="639">
        <v>0</v>
      </c>
      <c r="F59" s="636">
        <f t="shared" si="15"/>
        <v>0</v>
      </c>
      <c r="G59" s="3506" t="s">
        <v>2278</v>
      </c>
      <c r="H59" s="1933" t="str">
        <f>项目基本情况!B43</f>
        <v>五级</v>
      </c>
      <c r="I59" s="1542">
        <f>SUMIF(修正!$A$45:$A$56,H59,修正!B45:B56)</f>
        <v>0.7</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565</v>
      </c>
      <c r="B60" s="638">
        <f t="shared" ref="B60:B67" si="17">ROUND($C$50*C60*D60,0)</f>
        <v>2092</v>
      </c>
      <c r="C60" s="378">
        <f t="shared" si="16"/>
        <v>0.4</v>
      </c>
      <c r="D60" s="2214">
        <v>0.25</v>
      </c>
      <c r="E60" s="639">
        <v>0</v>
      </c>
      <c r="F60" s="636">
        <f t="shared" si="15"/>
        <v>0</v>
      </c>
      <c r="G60" s="3506"/>
      <c r="H60" s="1933" t="str">
        <f>项目基本情况!B43</f>
        <v>五级</v>
      </c>
      <c r="I60" s="1542">
        <f>SUMIF(修正!$A$45:$A$56,H60,修正!C45:C56)</f>
        <v>0.4</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566</v>
      </c>
      <c r="B61" s="638">
        <f t="shared" si="17"/>
        <v>1464</v>
      </c>
      <c r="C61" s="378">
        <f t="shared" si="16"/>
        <v>0.28000000000000003</v>
      </c>
      <c r="D61" s="2214">
        <v>0.25</v>
      </c>
      <c r="E61" s="639">
        <v>0</v>
      </c>
      <c r="F61" s="636">
        <f t="shared" si="15"/>
        <v>0</v>
      </c>
      <c r="G61" s="3506"/>
      <c r="H61" s="1933" t="str">
        <f>项目基本情况!B43</f>
        <v>五级</v>
      </c>
      <c r="I61" s="1542">
        <f>SUMIF(修正!$A$45:$A$56,H61,修正!D45:D56)</f>
        <v>0.28000000000000003</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567</v>
      </c>
      <c r="B62" s="638">
        <f t="shared" si="17"/>
        <v>1307</v>
      </c>
      <c r="C62" s="378">
        <f t="shared" si="16"/>
        <v>0.25</v>
      </c>
      <c r="D62" s="2214">
        <v>0.25</v>
      </c>
      <c r="E62" s="639">
        <v>0</v>
      </c>
      <c r="F62" s="636">
        <f t="shared" si="15"/>
        <v>0</v>
      </c>
      <c r="G62" s="3506"/>
      <c r="H62" s="1933" t="str">
        <f>项目基本情况!B43</f>
        <v>五级</v>
      </c>
      <c r="I62" s="1542">
        <f>SUMIF(修正!$A$45:$A$56,H62,修正!E45:E56)</f>
        <v>0.25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2322</v>
      </c>
      <c r="B63" s="638">
        <f t="shared" si="17"/>
        <v>0</v>
      </c>
      <c r="C63" s="378">
        <f t="shared" si="16"/>
        <v>0</v>
      </c>
      <c r="D63" s="2214">
        <v>0.25</v>
      </c>
      <c r="E63" s="641">
        <f>'数据-汇总表'!E11</f>
        <v>0</v>
      </c>
      <c r="F63" s="636">
        <f t="shared" si="15"/>
        <v>0</v>
      </c>
      <c r="G63" s="1930" t="s">
        <v>2279</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569</v>
      </c>
      <c r="B65" s="638">
        <f t="shared" si="17"/>
        <v>0</v>
      </c>
      <c r="C65" s="378">
        <f t="shared" si="16"/>
        <v>0</v>
      </c>
      <c r="D65" s="2214">
        <v>0.25</v>
      </c>
      <c r="E65" s="641">
        <f>'数据-汇总表'!E13</f>
        <v>6020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570</v>
      </c>
      <c r="B66" s="638">
        <f t="shared" si="17"/>
        <v>1046</v>
      </c>
      <c r="C66" s="378">
        <f t="shared" si="16"/>
        <v>0.2</v>
      </c>
      <c r="D66" s="2214">
        <v>0.25</v>
      </c>
      <c r="E66" s="641">
        <f>'数据-汇总表'!E14</f>
        <v>0</v>
      </c>
      <c r="F66" s="636">
        <f t="shared" si="15"/>
        <v>0</v>
      </c>
      <c r="G66" s="1930" t="s">
        <v>2278</v>
      </c>
      <c r="H66" s="1933" t="str">
        <f>项目基本情况!B43</f>
        <v>五级</v>
      </c>
      <c r="I66" s="1542">
        <f>SUMIF(修正!$A$45:$A$56,H66,修正!H45:H56)</f>
        <v>0.2</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571</v>
      </c>
      <c r="B67" s="638">
        <f t="shared" si="17"/>
        <v>0</v>
      </c>
      <c r="C67" s="378">
        <f t="shared" si="16"/>
        <v>0</v>
      </c>
      <c r="D67" s="2214">
        <v>0.25</v>
      </c>
      <c r="E67" s="641">
        <f>'数据-汇总表'!E15</f>
        <v>0</v>
      </c>
      <c r="F67" s="636">
        <f t="shared" si="15"/>
        <v>0</v>
      </c>
      <c r="G67" s="1932" t="s">
        <v>2279</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572</v>
      </c>
      <c r="B68" s="643" t="s">
        <v>17</v>
      </c>
      <c r="C68" s="643" t="s">
        <v>18</v>
      </c>
      <c r="D68" s="643" t="s">
        <v>2290</v>
      </c>
      <c r="E68" s="643">
        <f>IF(B48="楼面地价",SUM(E58:E67),'数据-汇总表'!D3)</f>
        <v>221508.30000000002</v>
      </c>
      <c r="F68" s="644">
        <f>IF(B48="楼面地价",SUM(F58:F67),ROUND(C50*E68/10000,0))</f>
        <v>450758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2525</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2640</v>
      </c>
      <c r="B73" s="479" t="str">
        <f>"北京市平均增长率"&amp;TEXT(SUMIF(基准地价!N21:N25,A73,基准地价!P21:P25),"0.00%")</f>
        <v>北京市平均增长率2.06%</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2639</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190" t="s">
        <v>3446</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2541</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2543</v>
      </c>
      <c r="C104" s="2562" t="s">
        <v>2544</v>
      </c>
      <c r="D104" s="2562" t="s">
        <v>2545</v>
      </c>
      <c r="E104" s="2562" t="s">
        <v>2546</v>
      </c>
      <c r="F104" s="2562" t="s">
        <v>2547</v>
      </c>
      <c r="G104" s="2562" t="s">
        <v>2548</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41" t="str">
        <f t="shared" si="26"/>
        <v>70000(含)-80000</v>
      </c>
      <c r="K118" s="3041" t="str">
        <f t="shared" si="26"/>
        <v>80000(含)-</v>
      </c>
      <c r="L118" s="3042" t="str">
        <f t="shared" si="26"/>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v>80000</v>
      </c>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82" t="s">
        <v>3380</v>
      </c>
      <c r="D121" s="3182" t="s">
        <v>3382</v>
      </c>
      <c r="E121" s="3182" t="s">
        <v>3383</v>
      </c>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83" t="s">
        <v>3384</v>
      </c>
      <c r="D123" s="3183" t="s">
        <v>3386</v>
      </c>
      <c r="E123" s="3183" t="s">
        <v>3387</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2419</v>
      </c>
      <c r="C125" s="1371" t="s">
        <v>3379</v>
      </c>
      <c r="D125" s="1371" t="s">
        <v>3388</v>
      </c>
      <c r="E125" s="1371" t="s">
        <v>3389</v>
      </c>
      <c r="F125" s="1371" t="s">
        <v>3390</v>
      </c>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3391</v>
      </c>
      <c r="D127" s="688" t="s">
        <v>3378</v>
      </c>
      <c r="E127" s="718" t="s">
        <v>3392</v>
      </c>
      <c r="F127" s="718" t="s">
        <v>3393</v>
      </c>
      <c r="G127" s="718" t="s">
        <v>3394</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84" t="str">
        <f>项目基本情况!B1</f>
        <v>江苏省南京市浦口区总部大道以北地块出让国有建设用地使用权抵押价格预评估</v>
      </c>
      <c r="C37" s="3284"/>
      <c r="D37" s="3284"/>
      <c r="E37" s="3284"/>
      <c r="F37" s="3284"/>
      <c r="G37" s="3284"/>
      <c r="H37" s="3284"/>
      <c r="I37" s="3284"/>
    </row>
    <row r="38" spans="1:9">
      <c r="A38" s="1641"/>
      <c r="B38" s="1641"/>
    </row>
    <row r="39" spans="1:9">
      <c r="A39" s="1639" t="s">
        <v>1900</v>
      </c>
      <c r="B39" s="1639" t="s">
        <v>2042</v>
      </c>
    </row>
    <row r="40" spans="1:9">
      <c r="A40" s="1639"/>
      <c r="B40" s="1639" t="str">
        <f>项目基本情况!B5</f>
        <v>南京启迪科技新城发展有限公司</v>
      </c>
    </row>
    <row r="41" spans="1:9">
      <c r="A41" s="1639"/>
      <c r="B41" s="1639"/>
    </row>
    <row r="42" spans="1:9">
      <c r="A42" s="1639" t="s">
        <v>1900</v>
      </c>
      <c r="B42" s="1639" t="s">
        <v>2043</v>
      </c>
    </row>
    <row r="43" spans="1:9">
      <c r="A43" s="1639"/>
      <c r="B43" s="1639" t="s">
        <v>1902</v>
      </c>
    </row>
    <row r="44" spans="1:9">
      <c r="A44" s="1639"/>
      <c r="B44" s="1639"/>
    </row>
    <row r="45" spans="1:9">
      <c r="A45" s="1639" t="s">
        <v>1900</v>
      </c>
      <c r="B45" s="1639" t="s">
        <v>2041</v>
      </c>
    </row>
    <row r="46" spans="1:9" s="1639" customFormat="1" ht="12.75">
      <c r="B46" s="1639" t="str">
        <f>项目基本情况!K4</f>
        <v>赵雯、王鹏</v>
      </c>
    </row>
    <row r="47" spans="1:9">
      <c r="A47" s="1639"/>
      <c r="B47" s="1639"/>
    </row>
    <row r="48" spans="1:9">
      <c r="A48" s="1639" t="s">
        <v>1900</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5" sqref="F1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9</v>
      </c>
    </row>
    <row r="2" spans="1:31" s="2026" customFormat="1" ht="18" customHeight="1">
      <c r="A2" s="2086" t="s">
        <v>466</v>
      </c>
      <c r="B2" s="2090">
        <f ca="1">C36</f>
        <v>425995</v>
      </c>
      <c r="C2" s="2089"/>
      <c r="D2" s="2089"/>
      <c r="E2" s="2089"/>
      <c r="F2" s="2089"/>
      <c r="G2" s="2089"/>
      <c r="H2" s="2089"/>
      <c r="I2" s="2089"/>
      <c r="J2" s="2089"/>
      <c r="K2" s="2089"/>
    </row>
    <row r="3" spans="1:31" s="2026" customFormat="1" ht="18" customHeight="1">
      <c r="A3" s="2091" t="s">
        <v>1683</v>
      </c>
      <c r="B3" s="2092">
        <f ca="1">ROUND(B2*10000/IF(B1="",'数据-汇总表'!E3,INDIRECT("'数据-取费表'!K"&amp;$K$1)),0)</f>
        <v>17730</v>
      </c>
      <c r="C3" s="2089"/>
      <c r="D3" s="2089"/>
      <c r="E3" s="2089"/>
      <c r="F3" s="2089"/>
      <c r="G3" s="2089"/>
      <c r="H3" s="2089"/>
      <c r="I3" s="2089"/>
      <c r="J3" s="2089"/>
      <c r="K3" s="2089"/>
    </row>
    <row r="4" spans="1:31" s="2026" customFormat="1" ht="18" customHeight="1">
      <c r="A4" s="426" t="s">
        <v>467</v>
      </c>
      <c r="B4" s="427">
        <f ca="1">ROUND(B2*10000/IF(B1="",'数据-汇总表'!D3,INDIRECT("'数据-取费表'!R"&amp;$K$1)),0)</f>
        <v>55119</v>
      </c>
      <c r="C4" s="428"/>
      <c r="D4" s="422"/>
      <c r="E4" s="422"/>
      <c r="F4" s="422"/>
      <c r="G4" s="422"/>
      <c r="H4" s="422"/>
      <c r="I4" s="422"/>
      <c r="J4" s="422"/>
      <c r="K4" s="422"/>
    </row>
    <row r="5" spans="1:31" s="2026" customFormat="1" ht="18" customHeight="1" thickBot="1">
      <c r="A5" s="429"/>
      <c r="B5" s="430">
        <f ca="1">ROUND(B2/(IF(B1="",'数据-汇总表'!D3,INDIRECT("'数据-取费表'!R"&amp;$K$1))/666.67),0)</f>
        <v>3675</v>
      </c>
      <c r="C5" s="431" t="s">
        <v>468</v>
      </c>
      <c r="D5" s="422"/>
      <c r="E5" s="422"/>
      <c r="F5" s="422"/>
      <c r="G5" s="422"/>
      <c r="H5" s="422"/>
      <c r="I5" s="422"/>
      <c r="J5" s="422"/>
      <c r="K5" s="422"/>
    </row>
    <row r="6" spans="1:31" s="2096" customFormat="1" ht="16.5" customHeight="1">
      <c r="A6" s="2783" t="s">
        <v>1841</v>
      </c>
      <c r="B6" s="2784"/>
      <c r="C6" s="2785">
        <f ca="1">SUM(C10:K10)</f>
        <v>679190</v>
      </c>
      <c r="D6" s="2784"/>
      <c r="E6" s="2784"/>
      <c r="F6" s="2784"/>
      <c r="G6" s="2784"/>
      <c r="H6" s="2784"/>
      <c r="I6" s="2784"/>
      <c r="J6" s="2784"/>
      <c r="K6" s="2786"/>
    </row>
    <row r="7" spans="1:31" s="2098" customFormat="1" ht="15">
      <c r="A7" s="2787" t="s">
        <v>469</v>
      </c>
      <c r="B7" s="2788" t="s">
        <v>470</v>
      </c>
      <c r="C7" s="436" t="s">
        <v>922</v>
      </c>
      <c r="D7" s="436" t="s">
        <v>3409</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30862</v>
      </c>
      <c r="D8" s="2789">
        <f ca="1">不动产收益法!B3</f>
        <v>30906</v>
      </c>
      <c r="E8" s="2789">
        <f>'不动产比较法-车位'!B3</f>
        <v>23434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205670.1</v>
      </c>
      <c r="D9" s="441">
        <f>SUMIF('数据-汇总表'!$C19:$C33,'剩余法-待开发'!D7,'数据-汇总表'!$E19:$E33)</f>
        <v>9818.2000000000007</v>
      </c>
      <c r="E9" s="441">
        <f>SUMIF('数据-汇总表'!$C19:$C33,'剩余法-待开发'!E7,'数据-汇总表'!$E19:$E33)</f>
        <v>6020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0">
        <f>'不动产比较法-住宅'!B2</f>
        <v>634739</v>
      </c>
      <c r="D10" s="2980">
        <f ca="1">不动产收益法!B2</f>
        <v>30344</v>
      </c>
      <c r="E10" s="2980">
        <f>'不动产比较法-车位'!B2</f>
        <v>14107</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55998</v>
      </c>
      <c r="D13" s="2799"/>
      <c r="E13" s="2800"/>
      <c r="F13" s="2801"/>
      <c r="G13" s="2767"/>
      <c r="H13" s="2768"/>
      <c r="I13" s="2768"/>
      <c r="J13" s="2768"/>
      <c r="K13" s="2769"/>
    </row>
    <row r="14" spans="1:31" s="2101" customFormat="1" ht="13.5" customHeight="1">
      <c r="A14" s="2797" t="s">
        <v>1848</v>
      </c>
      <c r="B14" s="2798" t="s">
        <v>479</v>
      </c>
      <c r="C14" s="53">
        <f ca="1">ROUND(C13*F14,0)</f>
        <v>1680</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2314</v>
      </c>
      <c r="D15" s="2799"/>
      <c r="E15" s="2800"/>
      <c r="F15" s="2801">
        <f>'数据-取费表'!B34</f>
        <v>4.4999999999999998E-2</v>
      </c>
      <c r="G15" s="2767" t="s">
        <v>482</v>
      </c>
      <c r="H15" s="2768"/>
      <c r="I15" s="2768"/>
      <c r="J15" s="2768"/>
      <c r="K15" s="2769"/>
    </row>
    <row r="16" spans="1:31" s="2102" customFormat="1" ht="13.5" customHeight="1">
      <c r="A16" s="2797" t="s">
        <v>1850</v>
      </c>
      <c r="B16" s="2798" t="s">
        <v>483</v>
      </c>
      <c r="C16" s="53">
        <f ca="1">ROUND(D16*E16/10000,0)</f>
        <v>4325</v>
      </c>
      <c r="D16" s="2799">
        <f ca="1">IF(B1="",'数据-汇总表'!E3,INDIRECT("'数据-取费表'!K"&amp;$K$1)+INDIRECT("'数据-取费表'!S"&amp;$K$1))</f>
        <v>240271.90000000002</v>
      </c>
      <c r="E16" s="53">
        <f>'数据-取费表'!B35</f>
        <v>180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840</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65157</v>
      </c>
      <c r="D18" s="2808"/>
      <c r="E18" s="468"/>
      <c r="F18" s="468"/>
      <c r="G18" s="2771" t="s">
        <v>2424</v>
      </c>
      <c r="H18" s="2772"/>
      <c r="I18" s="2772"/>
      <c r="J18" s="2772"/>
      <c r="K18" s="2773"/>
    </row>
    <row r="19" spans="1:14" s="2101" customFormat="1" ht="13.5" customHeight="1">
      <c r="A19" s="2805" t="s">
        <v>1853</v>
      </c>
      <c r="B19" s="2806" t="s">
        <v>487</v>
      </c>
      <c r="C19" s="2763">
        <f ca="1">ROUND(D19*E19/10000,0)</f>
        <v>2403</v>
      </c>
      <c r="D19" s="2809">
        <f ca="1">D16</f>
        <v>240271.90000000002</v>
      </c>
      <c r="E19" s="2763">
        <f>'数据-取费表'!B32</f>
        <v>100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3604</v>
      </c>
      <c r="D20" s="2809"/>
      <c r="E20" s="2763"/>
      <c r="F20" s="2810"/>
      <c r="G20" s="3037"/>
      <c r="H20" s="2765"/>
      <c r="I20" s="2766" t="s">
        <v>2644</v>
      </c>
      <c r="J20" s="2772"/>
      <c r="K20" s="2773"/>
    </row>
    <row r="21" spans="1:14" s="2101" customFormat="1" ht="13.5" customHeight="1">
      <c r="A21" s="2797" t="s">
        <v>1855</v>
      </c>
      <c r="B21" s="2798" t="s">
        <v>490</v>
      </c>
      <c r="C21" s="53">
        <f ca="1">ROUND(D21*E21/10000,0)</f>
        <v>3085</v>
      </c>
      <c r="D21" s="2799">
        <f ca="1">IF(B1="",'数据-汇总表'!E5,IF(INDIRECT("'数据-取费表'!c"&amp;$K$1)="住宅",INDIRECT("'数据-取费表'!k"&amp;$K$1),0))</f>
        <v>205670.1</v>
      </c>
      <c r="E21" s="53">
        <f>'数据-取费表'!B27</f>
        <v>150</v>
      </c>
      <c r="F21" s="2802"/>
      <c r="G21" s="26"/>
      <c r="H21" s="51"/>
      <c r="I21" s="51"/>
      <c r="J21" s="51"/>
      <c r="K21" s="2774"/>
    </row>
    <row r="22" spans="1:14" s="2101" customFormat="1" ht="13.5" customHeight="1">
      <c r="A22" s="2797" t="s">
        <v>1856</v>
      </c>
      <c r="B22" s="2798" t="s">
        <v>491</v>
      </c>
      <c r="C22" s="53">
        <f ca="1">ROUND(D22*E22/10000,0)</f>
        <v>519</v>
      </c>
      <c r="D22" s="2799">
        <f ca="1">IF(B1="",'数据-汇总表'!E6,IF(INDIRECT("'数据-取费表'!c"&amp;$K$1)="住宅",INDIRECT("'数据-取费表'!s"&amp;$K$1),INDIRECT("'数据-取费表'!k"&amp;$K$1)+INDIRECT("'数据-取费表'!s"&amp;$K$1)))</f>
        <v>34601.800000000017</v>
      </c>
      <c r="E22" s="53">
        <f>'数据-取费表'!B28</f>
        <v>150</v>
      </c>
      <c r="F22" s="2802"/>
      <c r="G22" s="26"/>
      <c r="H22" s="51"/>
      <c r="I22" s="51"/>
      <c r="J22" s="51"/>
      <c r="K22" s="2774"/>
    </row>
    <row r="23" spans="1:14" s="2101" customFormat="1" ht="13.5" customHeight="1">
      <c r="A23" s="2805" t="s">
        <v>1857</v>
      </c>
      <c r="B23" s="2986" t="s">
        <v>2827</v>
      </c>
      <c r="C23" s="2807">
        <f ca="1">ROUND((C18+C19+C20)*F23,0)</f>
        <v>2135</v>
      </c>
      <c r="D23" s="468"/>
      <c r="E23" s="468"/>
      <c r="F23" s="2811">
        <f>'数据-取费表'!B37</f>
        <v>0.03</v>
      </c>
      <c r="G23" s="2767" t="s">
        <v>2425</v>
      </c>
      <c r="H23" s="2768"/>
      <c r="I23" s="2768"/>
      <c r="J23" s="2768"/>
      <c r="K23" s="2769"/>
      <c r="L23" s="2103"/>
      <c r="M23" s="2103"/>
      <c r="N23" s="2103"/>
    </row>
    <row r="24" spans="1:14" s="2101" customFormat="1" ht="13.5" customHeight="1">
      <c r="A24" s="2805" t="s">
        <v>1858</v>
      </c>
      <c r="B24" s="2986" t="s">
        <v>2830</v>
      </c>
      <c r="C24" s="2807">
        <f ca="1">ROUND(C6*F24,0)</f>
        <v>20376</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6" t="s">
        <v>2828</v>
      </c>
      <c r="C25" s="467">
        <f>ROUND(F25/(1+'数据-取费表'!C42),4)</f>
        <v>2.9000000000000001E-2</v>
      </c>
      <c r="D25" s="462" t="s">
        <v>2822</v>
      </c>
      <c r="E25" s="469"/>
      <c r="F25" s="2811">
        <f>'数据-取费表'!B48+'数据-取费表'!B49</f>
        <v>3.0499999999999999E-2</v>
      </c>
      <c r="G25" s="2775" t="s">
        <v>2285</v>
      </c>
      <c r="H25" s="2768"/>
      <c r="I25" s="2768"/>
      <c r="J25" s="2768"/>
      <c r="K25" s="2769"/>
    </row>
    <row r="26" spans="1:14" s="2103" customFormat="1" ht="13.5" customHeight="1">
      <c r="A26" s="2805" t="s">
        <v>1860</v>
      </c>
      <c r="B26" s="2987" t="s">
        <v>2829</v>
      </c>
      <c r="C26" s="2812">
        <f ca="1">C28</f>
        <v>4450</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2831</v>
      </c>
      <c r="C28" s="2815">
        <f ca="1">ROUND(IF('数据-取费表'!B22&lt;=1,(C18+C19+C20+C23+C24)*F26*'数据-取费表'!B24/2,(C18+C19+C20+C23+C24)*(POWER((1+F26),'数据-取费表'!B24/2)-1)),0)</f>
        <v>4450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36223</v>
      </c>
      <c r="D29" s="468"/>
      <c r="E29" s="468"/>
      <c r="F29" s="2988">
        <f>'数据-取费表'!B41</f>
        <v>5.6000000000000001E-2</v>
      </c>
      <c r="G29" s="2776" t="s">
        <v>497</v>
      </c>
      <c r="H29" s="2768"/>
      <c r="I29" s="2768"/>
      <c r="J29" s="2768"/>
      <c r="K29" s="2769"/>
    </row>
    <row r="30" spans="1:14" s="2106" customFormat="1" ht="13.5" customHeight="1">
      <c r="A30" s="1620" t="s">
        <v>1862</v>
      </c>
      <c r="B30" s="2817" t="s">
        <v>499</v>
      </c>
      <c r="C30" s="2812">
        <f ca="1">C31</f>
        <v>134348</v>
      </c>
      <c r="D30" s="477">
        <f ca="1">C32</f>
        <v>0.12909999999999999</v>
      </c>
      <c r="E30" s="469" t="s">
        <v>494</v>
      </c>
      <c r="F30" s="471"/>
      <c r="G30" s="2775" t="s">
        <v>2959</v>
      </c>
      <c r="H30" s="2768"/>
      <c r="I30" s="2768"/>
      <c r="J30" s="2768"/>
      <c r="K30" s="2769"/>
    </row>
    <row r="31" spans="1:14" s="2105" customFormat="1" ht="13.5" customHeight="1">
      <c r="A31" s="803" t="s">
        <v>1855</v>
      </c>
      <c r="B31" s="2813"/>
      <c r="C31" s="450">
        <f ca="1">C18+C19+C20+C23+C24+C26+C29</f>
        <v>134348</v>
      </c>
      <c r="D31" s="472"/>
      <c r="E31" s="473"/>
      <c r="F31" s="474"/>
      <c r="G31" s="261"/>
      <c r="H31" s="2770"/>
      <c r="I31" s="2770"/>
      <c r="J31" s="2770"/>
      <c r="K31" s="279"/>
    </row>
    <row r="32" spans="1:14" s="2105" customFormat="1" ht="13.5" customHeight="1">
      <c r="A32" s="803" t="s">
        <v>1856</v>
      </c>
      <c r="B32" s="2813"/>
      <c r="C32" s="53">
        <f ca="1">ROUND(C25+D26,4)</f>
        <v>0.12909999999999999</v>
      </c>
      <c r="D32" s="472"/>
      <c r="E32" s="473"/>
      <c r="F32" s="474"/>
      <c r="G32" s="261"/>
      <c r="H32" s="2770"/>
      <c r="I32" s="2770"/>
      <c r="J32" s="2770"/>
      <c r="K32" s="279"/>
    </row>
    <row r="33" spans="1:11" s="2107" customFormat="1" ht="13.5" customHeight="1">
      <c r="A33" s="2985" t="s">
        <v>2826</v>
      </c>
      <c r="B33" s="2983" t="s">
        <v>2824</v>
      </c>
      <c r="C33" s="478">
        <f ca="1">C35</f>
        <v>11241</v>
      </c>
      <c r="D33" s="467">
        <f ca="1">C34</f>
        <v>0.1235</v>
      </c>
      <c r="E33" s="469" t="s">
        <v>494</v>
      </c>
      <c r="F33" s="479">
        <f ca="1">IF(B1="",'数据-取费表'!Q16,INDIRECT("'数据-取费表'!q"&amp;$K$1))</f>
        <v>0.12</v>
      </c>
      <c r="G33" s="2771"/>
      <c r="H33" s="2772"/>
      <c r="I33" s="2772"/>
      <c r="J33" s="2772"/>
      <c r="K33" s="2773"/>
    </row>
    <row r="34" spans="1:11" s="2108" customFormat="1" ht="13.5" customHeight="1">
      <c r="A34" s="375" t="s">
        <v>1855</v>
      </c>
      <c r="B34" s="2818" t="s">
        <v>500</v>
      </c>
      <c r="C34" s="472">
        <f ca="1">ROUND((1+C25)*F33,4)</f>
        <v>0.1235</v>
      </c>
      <c r="D34" s="472"/>
      <c r="E34" s="473"/>
      <c r="F34" s="480"/>
      <c r="G34" s="261" t="s">
        <v>2286</v>
      </c>
      <c r="H34" s="2770"/>
      <c r="I34" s="2770"/>
      <c r="J34" s="2770"/>
      <c r="K34" s="279"/>
    </row>
    <row r="35" spans="1:11" s="2108" customFormat="1" ht="13.5" customHeight="1" thickBot="1">
      <c r="A35" s="1621" t="s">
        <v>1856</v>
      </c>
      <c r="B35" s="2984" t="s">
        <v>2832</v>
      </c>
      <c r="C35" s="1613">
        <f ca="1">ROUND((C18+C19+C20+C23+C24)*F33,0)</f>
        <v>11241</v>
      </c>
      <c r="D35" s="1614"/>
      <c r="E35" s="2819"/>
      <c r="F35" s="1615"/>
      <c r="G35" s="2777"/>
      <c r="H35" s="2778"/>
      <c r="I35" s="2778"/>
      <c r="J35" s="2778"/>
      <c r="K35" s="2779"/>
    </row>
    <row r="36" spans="1:11" s="2070" customFormat="1" ht="13.5" customHeight="1" thickBot="1">
      <c r="A36" s="284" t="s">
        <v>1843</v>
      </c>
      <c r="B36" s="2781"/>
      <c r="C36" s="2820">
        <f ca="1">ROUND((C6-C30-C33)/(1+D30+D33),0)</f>
        <v>425995</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9</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2645</v>
      </c>
      <c r="B6" s="433"/>
      <c r="C6" s="1608">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55998</v>
      </c>
      <c r="D13" s="451"/>
      <c r="E13" s="365"/>
      <c r="F13" s="452"/>
      <c r="G13" s="444"/>
      <c r="H13" s="447"/>
      <c r="I13" s="447"/>
      <c r="J13" s="447"/>
      <c r="K13" s="448"/>
    </row>
    <row r="14" spans="1:41" s="2101" customFormat="1" ht="13.5" customHeight="1">
      <c r="A14" s="1618" t="s">
        <v>1848</v>
      </c>
      <c r="B14" s="449" t="s">
        <v>479</v>
      </c>
      <c r="C14" s="53">
        <f ca="1">ROUND(C13*F14,0)</f>
        <v>1680</v>
      </c>
      <c r="D14" s="451"/>
      <c r="E14" s="365"/>
      <c r="F14" s="453">
        <f>'数据-取费表'!B33</f>
        <v>0.03</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2314</v>
      </c>
      <c r="D15" s="451"/>
      <c r="E15" s="365"/>
      <c r="F15" s="453">
        <f>'数据-取费表'!B34</f>
        <v>4.4999999999999998E-2</v>
      </c>
      <c r="G15" s="444" t="s">
        <v>501</v>
      </c>
      <c r="H15" s="447"/>
      <c r="I15" s="447"/>
      <c r="J15" s="447"/>
      <c r="K15" s="448"/>
    </row>
    <row r="16" spans="1:41" s="2102" customFormat="1" ht="13.5" customHeight="1">
      <c r="A16" s="1618" t="s">
        <v>1850</v>
      </c>
      <c r="B16" s="449" t="s">
        <v>483</v>
      </c>
      <c r="C16" s="53">
        <f ca="1">ROUND(D16*E16/10000,0)</f>
        <v>4325</v>
      </c>
      <c r="D16" s="451">
        <f ca="1">IF(B1="",'数据-汇总表'!E3,INDIRECT("'数据-取费表'!K"&amp;$K$1)+INDIRECT("'数据-取费表'!S"&amp;$K$1))</f>
        <v>240271.90000000002</v>
      </c>
      <c r="E16" s="53">
        <f>'数据-取费表'!B35</f>
        <v>180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840</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65157</v>
      </c>
      <c r="D18" s="461"/>
      <c r="E18" s="462"/>
      <c r="F18" s="462"/>
      <c r="G18" s="1322" t="s">
        <v>2426</v>
      </c>
      <c r="H18" s="447"/>
      <c r="I18" s="447"/>
      <c r="J18" s="447"/>
      <c r="K18" s="448"/>
    </row>
    <row r="19" spans="1:14" s="2104" customFormat="1" ht="13.5" customHeight="1">
      <c r="A19" s="1619" t="s">
        <v>1853</v>
      </c>
      <c r="B19" s="459" t="s">
        <v>492</v>
      </c>
      <c r="C19" s="460">
        <f ca="1">ROUND(C18*F19,0)</f>
        <v>1955</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1">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3188</v>
      </c>
      <c r="D21" s="467">
        <f ca="1">C23</f>
        <v>1.4E-3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2448</v>
      </c>
    </row>
    <row r="22" spans="1:14" s="2105" customFormat="1" ht="13.5" customHeight="1">
      <c r="A22" s="1618" t="s">
        <v>1847</v>
      </c>
      <c r="B22" s="1323" t="s">
        <v>2429</v>
      </c>
      <c r="C22" s="487">
        <f ca="1">ROUND(IF('数据-取费表'!B22&lt;=1,(C18+C19)*F21*'数据-取费表'!B20/2,(C18+C19)*(POWER((1+F21),'数据-取费表'!B20/2)-1)),0)</f>
        <v>3188</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2825</v>
      </c>
      <c r="C24" s="478">
        <f ca="1">C25</f>
        <v>8053</v>
      </c>
      <c r="D24" s="489">
        <f ca="1">C26</f>
        <v>3.5999999999999999E-3</v>
      </c>
      <c r="E24" s="469" t="s">
        <v>506</v>
      </c>
      <c r="F24" s="479">
        <f ca="1">IF(B1="",'数据-取费表'!Q16,INDIRECT("'数据-取费表'!q"&amp;$K$1))</f>
        <v>0.12</v>
      </c>
      <c r="G24" s="444"/>
      <c r="H24" s="447"/>
      <c r="I24" s="447"/>
      <c r="J24" s="447"/>
      <c r="K24" s="448"/>
    </row>
    <row r="25" spans="1:14" s="2105" customFormat="1" ht="13.5" customHeight="1">
      <c r="A25" s="1618" t="s">
        <v>1847</v>
      </c>
      <c r="B25" s="1323" t="s">
        <v>2430</v>
      </c>
      <c r="C25" s="490">
        <f ca="1">ROUND((C18+C19)*F24,0)</f>
        <v>8053</v>
      </c>
      <c r="D25" s="472"/>
      <c r="E25" s="473"/>
      <c r="F25" s="480"/>
      <c r="G25" s="1321" t="s">
        <v>2427</v>
      </c>
      <c r="H25" s="457"/>
      <c r="I25" s="457"/>
      <c r="J25" s="457"/>
      <c r="K25" s="458"/>
    </row>
    <row r="26" spans="1:14" s="2105" customFormat="1" ht="13.5" customHeight="1">
      <c r="A26" s="1618" t="s">
        <v>1848</v>
      </c>
      <c r="B26" s="1323" t="s">
        <v>508</v>
      </c>
      <c r="C26" s="491">
        <f ca="1">ROUND(F20*F24,4)</f>
        <v>3.5999999999999999E-3</v>
      </c>
      <c r="D26" s="472"/>
      <c r="E26" s="481"/>
      <c r="F26" s="480"/>
      <c r="G26" s="1321" t="s">
        <v>509</v>
      </c>
      <c r="H26" s="457"/>
      <c r="I26" s="457"/>
      <c r="J26" s="457"/>
      <c r="K26" s="458"/>
    </row>
    <row r="27" spans="1:14" s="2105" customFormat="1" ht="13.5" customHeight="1">
      <c r="A27" s="1622" t="s">
        <v>1866</v>
      </c>
      <c r="B27" s="459" t="s">
        <v>510</v>
      </c>
      <c r="C27" s="2982">
        <f>ROUND(F27/(1+'数据-取费表'!C42),4)</f>
        <v>5.33E-2</v>
      </c>
      <c r="D27" s="462" t="s">
        <v>2823</v>
      </c>
      <c r="E27" s="462"/>
      <c r="F27" s="466">
        <f>'数据-取费表'!B41</f>
        <v>5.6000000000000001E-2</v>
      </c>
      <c r="G27" s="1945" t="s">
        <v>2287</v>
      </c>
      <c r="H27" s="447"/>
      <c r="I27" s="447"/>
      <c r="J27" s="447"/>
      <c r="K27" s="448"/>
    </row>
    <row r="28" spans="1:14" s="2106" customFormat="1" ht="13.5" customHeight="1">
      <c r="A28" s="1622" t="s">
        <v>1867</v>
      </c>
      <c r="B28" s="476" t="s">
        <v>511</v>
      </c>
      <c r="C28" s="470">
        <f ca="1">ROUND((C18+C19+C21+C24)/(1-C20-D21-D24-C27),0)</f>
        <v>85942</v>
      </c>
      <c r="D28" s="477"/>
      <c r="E28" s="469"/>
      <c r="F28" s="471"/>
      <c r="G28" s="1322" t="s">
        <v>2428</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2960</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482" t="s">
        <v>521</v>
      </c>
      <c r="D6" s="3483"/>
      <c r="E6" s="3516" t="s">
        <v>522</v>
      </c>
      <c r="F6" s="3517"/>
      <c r="G6" s="3482" t="s">
        <v>523</v>
      </c>
      <c r="H6" s="3483"/>
      <c r="I6" s="3482" t="s">
        <v>524</v>
      </c>
      <c r="J6" s="3483"/>
      <c r="K6" s="514" t="s">
        <v>525</v>
      </c>
      <c r="L6" s="2118"/>
      <c r="M6" s="2119"/>
      <c r="N6" s="2119"/>
      <c r="O6" s="2119"/>
      <c r="P6" s="3484" t="s">
        <v>526</v>
      </c>
      <c r="Q6" s="3485"/>
      <c r="R6" s="3490" t="s">
        <v>522</v>
      </c>
      <c r="S6" s="3491"/>
      <c r="T6" s="3490" t="s">
        <v>523</v>
      </c>
      <c r="U6" s="3491"/>
      <c r="V6" s="3477" t="s">
        <v>524</v>
      </c>
      <c r="W6" s="3477"/>
      <c r="X6" s="1553"/>
      <c r="Y6" s="3490" t="s">
        <v>526</v>
      </c>
      <c r="Z6" s="3491"/>
      <c r="AA6" s="3479" t="s">
        <v>522</v>
      </c>
      <c r="AB6" s="3480" t="s">
        <v>523</v>
      </c>
      <c r="AC6" s="3479" t="s">
        <v>524</v>
      </c>
    </row>
    <row r="7" spans="1:29" ht="15">
      <c r="A7" s="515"/>
      <c r="B7" s="516"/>
      <c r="C7" s="3498" t="s">
        <v>2916</v>
      </c>
      <c r="D7" s="3499"/>
      <c r="E7" s="3518" t="s">
        <v>2917</v>
      </c>
      <c r="F7" s="3519"/>
      <c r="G7" s="3498" t="s">
        <v>2918</v>
      </c>
      <c r="H7" s="3499"/>
      <c r="I7" s="3498" t="s">
        <v>2919</v>
      </c>
      <c r="J7" s="3499"/>
      <c r="K7" s="514"/>
      <c r="L7" s="2118"/>
      <c r="M7" s="2119"/>
      <c r="N7" s="2119"/>
      <c r="O7" s="2119"/>
      <c r="P7" s="3486"/>
      <c r="Q7" s="3487"/>
      <c r="R7" s="3492"/>
      <c r="S7" s="3493"/>
      <c r="T7" s="3492"/>
      <c r="U7" s="3493"/>
      <c r="V7" s="3477"/>
      <c r="W7" s="3477"/>
      <c r="X7" s="1553"/>
      <c r="Y7" s="3492"/>
      <c r="Z7" s="3493"/>
      <c r="AA7" s="3480"/>
      <c r="AB7" s="3480"/>
      <c r="AC7" s="3480"/>
    </row>
    <row r="8" spans="1:29" ht="15.75" thickBot="1">
      <c r="A8" s="517"/>
      <c r="B8" s="518"/>
      <c r="C8" s="3496" t="s">
        <v>2920</v>
      </c>
      <c r="D8" s="3497"/>
      <c r="E8" s="3514" t="s">
        <v>2920</v>
      </c>
      <c r="F8" s="3515"/>
      <c r="G8" s="3496" t="s">
        <v>2920</v>
      </c>
      <c r="H8" s="3497"/>
      <c r="I8" s="3496" t="s">
        <v>2920</v>
      </c>
      <c r="J8" s="3497"/>
      <c r="K8" s="514" t="s">
        <v>527</v>
      </c>
      <c r="L8" s="2118"/>
      <c r="M8" s="2119"/>
      <c r="N8" s="2119"/>
      <c r="O8" s="2119"/>
      <c r="P8" s="3488"/>
      <c r="Q8" s="3489"/>
      <c r="R8" s="3492"/>
      <c r="S8" s="3493"/>
      <c r="T8" s="3494"/>
      <c r="U8" s="3495"/>
      <c r="V8" s="3477"/>
      <c r="W8" s="3477"/>
      <c r="X8" s="1553"/>
      <c r="Y8" s="3494"/>
      <c r="Z8" s="3495"/>
      <c r="AA8" s="3481"/>
      <c r="AB8" s="3481"/>
      <c r="AC8" s="3481"/>
    </row>
    <row r="9" spans="1:29" s="1215" customFormat="1" ht="15.75" thickBot="1">
      <c r="A9" s="2866"/>
      <c r="B9" s="2873" t="s">
        <v>528</v>
      </c>
      <c r="C9" s="519">
        <f>'数据-取费表'!B2</f>
        <v>43629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507" t="s">
        <v>529</v>
      </c>
      <c r="Q9" s="3509"/>
      <c r="R9" s="1554" t="s">
        <v>8</v>
      </c>
      <c r="S9" s="1555">
        <f t="shared" ref="S9:S17" si="0">F9</f>
        <v>0</v>
      </c>
      <c r="T9" s="1554" t="s">
        <v>8</v>
      </c>
      <c r="U9" s="1555">
        <f t="shared" ref="U9:U17" si="1">H9</f>
        <v>0</v>
      </c>
      <c r="V9" s="1554" t="s">
        <v>8</v>
      </c>
      <c r="W9" s="1555">
        <f t="shared" ref="W9:W17" si="2">J9</f>
        <v>0</v>
      </c>
      <c r="X9" s="1556"/>
      <c r="Y9" s="3507" t="s">
        <v>529</v>
      </c>
      <c r="Z9" s="3508"/>
      <c r="AA9" s="1557" t="e">
        <f>D9/F9</f>
        <v>#DIV/0!</v>
      </c>
      <c r="AB9" s="1557" t="e">
        <f>D9/H9</f>
        <v>#DIV/0!</v>
      </c>
      <c r="AC9" s="1557" t="e">
        <f>D9/J9</f>
        <v>#DIV/0!</v>
      </c>
    </row>
    <row r="10" spans="1:29" s="1215"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507" t="s">
        <v>532</v>
      </c>
      <c r="Q10" s="3508"/>
      <c r="R10" s="1554" t="s">
        <v>8</v>
      </c>
      <c r="S10" s="1555">
        <f t="shared" si="0"/>
        <v>0</v>
      </c>
      <c r="T10" s="1554" t="s">
        <v>8</v>
      </c>
      <c r="U10" s="1555">
        <f t="shared" si="1"/>
        <v>0</v>
      </c>
      <c r="V10" s="1554" t="s">
        <v>8</v>
      </c>
      <c r="W10" s="1555">
        <f t="shared" si="2"/>
        <v>0</v>
      </c>
      <c r="X10" s="1556"/>
      <c r="Y10" s="3507" t="s">
        <v>532</v>
      </c>
      <c r="Z10" s="3508"/>
      <c r="AA10" s="1557" t="e">
        <f t="shared" ref="AA10:AA42" si="3">D10/F10</f>
        <v>#DIV/0!</v>
      </c>
      <c r="AB10" s="1557" t="e">
        <f t="shared" ref="AB10:AB42" si="4">D10/H10</f>
        <v>#DIV/0!</v>
      </c>
      <c r="AC10" s="1557" t="e">
        <f t="shared" ref="AC10:AC42" si="5">D10/J10</f>
        <v>#DIV/0!</v>
      </c>
    </row>
    <row r="11" spans="1:29" s="1215" customFormat="1" ht="15">
      <c r="A11" s="2868"/>
      <c r="B11" s="2875" t="s">
        <v>2749</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76" t="s">
        <v>534</v>
      </c>
      <c r="Q11" s="1146" t="str">
        <f t="shared" ref="Q11:Q17" si="6">B11</f>
        <v>用途</v>
      </c>
      <c r="R11" s="1554" t="s">
        <v>8</v>
      </c>
      <c r="S11" s="1555">
        <f t="shared" si="0"/>
        <v>100</v>
      </c>
      <c r="T11" s="1554" t="s">
        <v>8</v>
      </c>
      <c r="U11" s="1555">
        <f t="shared" si="1"/>
        <v>100</v>
      </c>
      <c r="V11" s="1554" t="s">
        <v>8</v>
      </c>
      <c r="W11" s="1555">
        <f t="shared" si="2"/>
        <v>100</v>
      </c>
      <c r="X11" s="1556"/>
      <c r="Y11" s="3398" t="s">
        <v>535</v>
      </c>
      <c r="Z11" s="1145" t="str">
        <f t="shared" ref="Z11:Z17" si="7">Q11</f>
        <v>用途</v>
      </c>
      <c r="AA11" s="1557">
        <f t="shared" si="3"/>
        <v>1</v>
      </c>
      <c r="AB11" s="1557">
        <f t="shared" si="4"/>
        <v>1</v>
      </c>
      <c r="AC11" s="1557">
        <f t="shared" si="5"/>
        <v>1</v>
      </c>
    </row>
    <row r="12" spans="1:29" s="1333" customFormat="1" ht="27">
      <c r="A12" s="2869"/>
      <c r="B12" s="2874" t="s">
        <v>2750</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476"/>
      <c r="Q12" s="1146" t="str">
        <f t="shared" si="6"/>
        <v>土地使用年限（年）</v>
      </c>
      <c r="R12" s="1554" t="s">
        <v>8</v>
      </c>
      <c r="S12" s="1555">
        <f t="shared" si="0"/>
        <v>103</v>
      </c>
      <c r="T12" s="1554" t="s">
        <v>8</v>
      </c>
      <c r="U12" s="1555">
        <f t="shared" si="1"/>
        <v>103</v>
      </c>
      <c r="V12" s="1554" t="s">
        <v>8</v>
      </c>
      <c r="W12" s="1555">
        <f t="shared" si="2"/>
        <v>103</v>
      </c>
      <c r="X12" s="1556"/>
      <c r="Y12" s="3398"/>
      <c r="Z12" s="1145" t="str">
        <f t="shared" si="7"/>
        <v>土地使用年限（年）</v>
      </c>
      <c r="AA12" s="1557">
        <f t="shared" si="3"/>
        <v>0.970873786407767</v>
      </c>
      <c r="AB12" s="1557">
        <f t="shared" si="4"/>
        <v>0.970873786407767</v>
      </c>
      <c r="AC12" s="1557">
        <f t="shared" si="5"/>
        <v>0.970873786407767</v>
      </c>
    </row>
    <row r="13" spans="1:29" ht="15">
      <c r="A13" s="2870"/>
      <c r="B13" s="2874"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76"/>
      <c r="Q13" s="1146" t="str">
        <f t="shared" si="6"/>
        <v>容积率</v>
      </c>
      <c r="R13" s="1554" t="s">
        <v>8</v>
      </c>
      <c r="S13" s="1555" t="e">
        <f t="shared" si="0"/>
        <v>#N/A</v>
      </c>
      <c r="T13" s="1554" t="s">
        <v>8</v>
      </c>
      <c r="U13" s="1555" t="e">
        <f t="shared" si="1"/>
        <v>#N/A</v>
      </c>
      <c r="V13" s="1554" t="s">
        <v>8</v>
      </c>
      <c r="W13" s="1555" t="e">
        <f t="shared" si="2"/>
        <v>#N/A</v>
      </c>
      <c r="X13" s="1556"/>
      <c r="Y13" s="3398"/>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76"/>
      <c r="Q15" s="1146">
        <f t="shared" si="6"/>
        <v>111</v>
      </c>
      <c r="R15" s="1554" t="s">
        <v>8</v>
      </c>
      <c r="S15" s="1555">
        <f t="shared" si="0"/>
        <v>100</v>
      </c>
      <c r="T15" s="1554" t="s">
        <v>8</v>
      </c>
      <c r="U15" s="1555">
        <f t="shared" si="1"/>
        <v>100</v>
      </c>
      <c r="V15" s="1554" t="s">
        <v>8</v>
      </c>
      <c r="W15" s="1555">
        <f t="shared" si="2"/>
        <v>100</v>
      </c>
      <c r="X15" s="1556"/>
      <c r="Y15" s="3398"/>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76"/>
      <c r="Q16" s="1146">
        <f t="shared" si="6"/>
        <v>111</v>
      </c>
      <c r="R16" s="1554" t="s">
        <v>8</v>
      </c>
      <c r="S16" s="1555">
        <f t="shared" si="0"/>
        <v>100</v>
      </c>
      <c r="T16" s="1554" t="s">
        <v>8</v>
      </c>
      <c r="U16" s="1555">
        <f t="shared" si="1"/>
        <v>100</v>
      </c>
      <c r="V16" s="1554" t="s">
        <v>8</v>
      </c>
      <c r="W16" s="1555">
        <f t="shared" si="2"/>
        <v>100</v>
      </c>
      <c r="X16" s="1556"/>
      <c r="Y16" s="3398"/>
      <c r="Z16" s="1145">
        <f t="shared" si="7"/>
        <v>111</v>
      </c>
      <c r="AA16" s="1557">
        <f t="shared" si="3"/>
        <v>1</v>
      </c>
      <c r="AB16" s="1557">
        <f t="shared" si="4"/>
        <v>1</v>
      </c>
      <c r="AC16" s="1557">
        <f t="shared" si="5"/>
        <v>1</v>
      </c>
    </row>
    <row r="17" spans="1:29" ht="57">
      <c r="A17" s="2864" t="s">
        <v>2747</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510" t="s">
        <v>539</v>
      </c>
      <c r="Q17" s="1558" t="str">
        <f t="shared" si="6"/>
        <v>产业集聚程度</v>
      </c>
      <c r="R17" s="1559" t="s">
        <v>8</v>
      </c>
      <c r="S17" s="1560">
        <f t="shared" si="0"/>
        <v>100</v>
      </c>
      <c r="T17" s="1559" t="s">
        <v>8</v>
      </c>
      <c r="U17" s="1560">
        <f t="shared" si="1"/>
        <v>100</v>
      </c>
      <c r="V17" s="1559" t="s">
        <v>8</v>
      </c>
      <c r="W17" s="1560">
        <f t="shared" si="2"/>
        <v>100</v>
      </c>
      <c r="X17" s="1553"/>
      <c r="Y17" s="3510"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511"/>
      <c r="Q18" s="1558"/>
      <c r="R18" s="1559"/>
      <c r="S18" s="1560"/>
      <c r="T18" s="1559"/>
      <c r="U18" s="1560"/>
      <c r="V18" s="1559"/>
      <c r="W18" s="1560"/>
      <c r="X18" s="1553"/>
      <c r="Y18" s="3511"/>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511"/>
      <c r="Q19" s="1558" t="str">
        <f>B19</f>
        <v>交通便捷度</v>
      </c>
      <c r="R19" s="1559" t="s">
        <v>8</v>
      </c>
      <c r="S19" s="1560">
        <f>F19</f>
        <v>100</v>
      </c>
      <c r="T19" s="1559" t="s">
        <v>8</v>
      </c>
      <c r="U19" s="1560">
        <f>H19</f>
        <v>100</v>
      </c>
      <c r="V19" s="1559" t="s">
        <v>8</v>
      </c>
      <c r="W19" s="1560">
        <f>J19</f>
        <v>100</v>
      </c>
      <c r="X19" s="1553"/>
      <c r="Y19" s="3511"/>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511"/>
      <c r="Q20" s="1558"/>
      <c r="R20" s="1559"/>
      <c r="S20" s="1560"/>
      <c r="T20" s="1559"/>
      <c r="U20" s="1560"/>
      <c r="V20" s="1559"/>
      <c r="W20" s="1560"/>
      <c r="X20" s="1553"/>
      <c r="Y20" s="3511"/>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511"/>
      <c r="Q21" s="1558" t="str">
        <f t="shared" ref="Q21:Q35" si="8">B21</f>
        <v>区域土地利用方向</v>
      </c>
      <c r="R21" s="1559" t="s">
        <v>8</v>
      </c>
      <c r="S21" s="1560">
        <f>F21</f>
        <v>100</v>
      </c>
      <c r="T21" s="1559" t="s">
        <v>8</v>
      </c>
      <c r="U21" s="1560">
        <f>H21</f>
        <v>100</v>
      </c>
      <c r="V21" s="1559" t="s">
        <v>8</v>
      </c>
      <c r="W21" s="1560">
        <f>J21</f>
        <v>100</v>
      </c>
      <c r="X21" s="1553"/>
      <c r="Y21" s="351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511"/>
      <c r="Q22" s="1558"/>
      <c r="R22" s="1559"/>
      <c r="S22" s="1560"/>
      <c r="T22" s="1559"/>
      <c r="U22" s="1560"/>
      <c r="V22" s="1559"/>
      <c r="W22" s="1560"/>
      <c r="X22" s="1553"/>
      <c r="Y22" s="3511"/>
      <c r="Z22" s="1561"/>
      <c r="AA22" s="1562"/>
      <c r="AB22" s="1562"/>
      <c r="AC22" s="1562"/>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511"/>
      <c r="Q23" s="1558" t="str">
        <f t="shared" si="8"/>
        <v>环境状况</v>
      </c>
      <c r="R23" s="1559" t="s">
        <v>8</v>
      </c>
      <c r="S23" s="1560">
        <f>F23</f>
        <v>100</v>
      </c>
      <c r="T23" s="1559" t="s">
        <v>8</v>
      </c>
      <c r="U23" s="1560">
        <f>H23</f>
        <v>100</v>
      </c>
      <c r="V23" s="1559" t="s">
        <v>8</v>
      </c>
      <c r="W23" s="1560">
        <f>J23</f>
        <v>100</v>
      </c>
      <c r="X23" s="1553"/>
      <c r="Y23" s="351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511"/>
      <c r="Q24" s="1558"/>
      <c r="R24" s="1559"/>
      <c r="S24" s="1560"/>
      <c r="T24" s="1559"/>
      <c r="U24" s="1560"/>
      <c r="V24" s="1559"/>
      <c r="W24" s="1560"/>
      <c r="X24" s="1553"/>
      <c r="Y24" s="3511"/>
      <c r="Z24" s="1561"/>
      <c r="AA24" s="1562">
        <v>1</v>
      </c>
      <c r="AB24" s="1562">
        <v>1</v>
      </c>
      <c r="AC24" s="1562">
        <v>1</v>
      </c>
    </row>
    <row r="25" spans="1:29" s="1215" customFormat="1" ht="42.75">
      <c r="A25" s="577"/>
      <c r="B25" s="2557" t="s">
        <v>2541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511"/>
      <c r="Q25" s="1146" t="str">
        <f t="shared" si="8"/>
        <v>公共配套设施</v>
      </c>
      <c r="R25" s="1554" t="s">
        <v>8</v>
      </c>
      <c r="S25" s="1555">
        <f>F25</f>
        <v>100</v>
      </c>
      <c r="T25" s="1554" t="s">
        <v>8</v>
      </c>
      <c r="U25" s="1555">
        <f>H25</f>
        <v>100</v>
      </c>
      <c r="V25" s="1554" t="s">
        <v>8</v>
      </c>
      <c r="W25" s="1555">
        <f>J25</f>
        <v>100</v>
      </c>
      <c r="X25" s="1556"/>
      <c r="Y25" s="3511"/>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511"/>
      <c r="Q26" s="1146"/>
      <c r="R26" s="1554"/>
      <c r="S26" s="1555"/>
      <c r="T26" s="1554"/>
      <c r="U26" s="1555"/>
      <c r="V26" s="1554"/>
      <c r="W26" s="1555"/>
      <c r="X26" s="1556"/>
      <c r="Y26" s="3511"/>
      <c r="Z26" s="1145"/>
      <c r="AA26" s="1557">
        <v>1</v>
      </c>
      <c r="AB26" s="1557">
        <v>1</v>
      </c>
      <c r="AC26" s="1557">
        <v>1</v>
      </c>
    </row>
    <row r="27" spans="1:29" s="1215" customFormat="1" ht="28.5">
      <c r="A27" s="577"/>
      <c r="B27" s="2557" t="s">
        <v>2542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511"/>
      <c r="Q27" s="2542" t="str">
        <f t="shared" ref="Q27" si="9">B27</f>
        <v>基础设施水平</v>
      </c>
      <c r="R27" s="1554" t="s">
        <v>8</v>
      </c>
      <c r="S27" s="1555">
        <f>F27</f>
        <v>100</v>
      </c>
      <c r="T27" s="1554" t="s">
        <v>8</v>
      </c>
      <c r="U27" s="1555">
        <f>H27</f>
        <v>100</v>
      </c>
      <c r="V27" s="1554" t="s">
        <v>8</v>
      </c>
      <c r="W27" s="1555">
        <f>J27</f>
        <v>100</v>
      </c>
      <c r="X27" s="1556"/>
      <c r="Y27" s="3511"/>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511"/>
      <c r="Q28" s="2542"/>
      <c r="R28" s="1554"/>
      <c r="S28" s="1555"/>
      <c r="T28" s="1554"/>
      <c r="U28" s="1555"/>
      <c r="V28" s="1554"/>
      <c r="W28" s="1555"/>
      <c r="X28" s="1556"/>
      <c r="Y28" s="3511"/>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51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511"/>
      <c r="Z29" s="1561" t="str">
        <f t="shared" ref="Z29:Z42" si="13">Q29</f>
        <v>临街状况</v>
      </c>
      <c r="AA29" s="1562">
        <f t="shared" si="3"/>
        <v>1</v>
      </c>
      <c r="AB29" s="1562">
        <f t="shared" si="4"/>
        <v>1</v>
      </c>
      <c r="AC29" s="1562">
        <f t="shared" si="5"/>
        <v>1</v>
      </c>
    </row>
    <row r="30" spans="1:29" ht="27">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511"/>
      <c r="Q30" s="1558" t="str">
        <f t="shared" si="8"/>
        <v>毗邻道路的类型与等级</v>
      </c>
      <c r="R30" s="1559" t="s">
        <v>8</v>
      </c>
      <c r="S30" s="1560">
        <f t="shared" si="10"/>
        <v>100</v>
      </c>
      <c r="T30" s="1559" t="s">
        <v>8</v>
      </c>
      <c r="U30" s="1560">
        <f t="shared" si="11"/>
        <v>100</v>
      </c>
      <c r="V30" s="1559" t="s">
        <v>8</v>
      </c>
      <c r="W30" s="1560">
        <f t="shared" si="12"/>
        <v>100</v>
      </c>
      <c r="X30" s="1553"/>
      <c r="Y30" s="351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511"/>
      <c r="Q31" s="1558"/>
      <c r="R31" s="1559"/>
      <c r="S31" s="1560"/>
      <c r="T31" s="1559"/>
      <c r="U31" s="1560"/>
      <c r="V31" s="1559"/>
      <c r="W31" s="1560"/>
      <c r="X31" s="1553"/>
      <c r="Y31" s="3511"/>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511"/>
      <c r="Q32" s="1558" t="str">
        <f t="shared" si="8"/>
        <v>土地级别</v>
      </c>
      <c r="R32" s="1559" t="s">
        <v>8</v>
      </c>
      <c r="S32" s="1560">
        <f t="shared" si="10"/>
        <v>100</v>
      </c>
      <c r="T32" s="1559" t="s">
        <v>8</v>
      </c>
      <c r="U32" s="1560">
        <f t="shared" si="11"/>
        <v>100</v>
      </c>
      <c r="V32" s="1559" t="s">
        <v>8</v>
      </c>
      <c r="W32" s="1560">
        <f t="shared" si="12"/>
        <v>100</v>
      </c>
      <c r="X32" s="1553"/>
      <c r="Y32" s="351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511"/>
      <c r="Q33" s="1558">
        <f t="shared" si="8"/>
        <v>111</v>
      </c>
      <c r="R33" s="1559" t="s">
        <v>8</v>
      </c>
      <c r="S33" s="1560">
        <f t="shared" si="10"/>
        <v>100</v>
      </c>
      <c r="T33" s="1559" t="s">
        <v>8</v>
      </c>
      <c r="U33" s="1560">
        <f t="shared" si="11"/>
        <v>100</v>
      </c>
      <c r="V33" s="1559" t="s">
        <v>8</v>
      </c>
      <c r="W33" s="1560">
        <f t="shared" si="12"/>
        <v>100</v>
      </c>
      <c r="X33" s="1553"/>
      <c r="Y33" s="351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512" t="s">
        <v>549</v>
      </c>
      <c r="Q34" s="1558">
        <f t="shared" si="8"/>
        <v>111</v>
      </c>
      <c r="R34" s="1559" t="s">
        <v>8</v>
      </c>
      <c r="S34" s="1560">
        <f t="shared" si="10"/>
        <v>100</v>
      </c>
      <c r="T34" s="1559" t="s">
        <v>8</v>
      </c>
      <c r="U34" s="1560">
        <f t="shared" si="11"/>
        <v>100</v>
      </c>
      <c r="V34" s="1559" t="s">
        <v>8</v>
      </c>
      <c r="W34" s="1560">
        <f t="shared" si="12"/>
        <v>100</v>
      </c>
      <c r="X34" s="1553"/>
      <c r="Y34" s="3513" t="s">
        <v>549</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513"/>
      <c r="Q35" s="1558">
        <f t="shared" si="8"/>
        <v>111</v>
      </c>
      <c r="R35" s="1563" t="s">
        <v>8</v>
      </c>
      <c r="S35" s="1564">
        <f t="shared" si="10"/>
        <v>100</v>
      </c>
      <c r="T35" s="1563" t="s">
        <v>8</v>
      </c>
      <c r="U35" s="1564">
        <f t="shared" si="11"/>
        <v>100</v>
      </c>
      <c r="V35" s="1563" t="s">
        <v>8</v>
      </c>
      <c r="W35" s="1564">
        <f t="shared" si="12"/>
        <v>100</v>
      </c>
      <c r="X35" s="1565"/>
      <c r="Y35" s="3513"/>
      <c r="Z35" s="1566">
        <f t="shared" si="13"/>
        <v>111</v>
      </c>
      <c r="AA35" s="1562">
        <f t="shared" si="3"/>
        <v>1</v>
      </c>
      <c r="AB35" s="1562">
        <f t="shared" si="4"/>
        <v>1</v>
      </c>
      <c r="AC35" s="1562">
        <f t="shared" si="5"/>
        <v>1</v>
      </c>
    </row>
    <row r="36" spans="1:29" ht="15">
      <c r="A36" s="2862" t="s">
        <v>2748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513"/>
      <c r="Q36" s="1558" t="str">
        <f>B36</f>
        <v>宗地面积</v>
      </c>
      <c r="R36" s="1559" t="s">
        <v>8</v>
      </c>
      <c r="S36" s="1560" t="e">
        <f t="shared" si="10"/>
        <v>#N/A</v>
      </c>
      <c r="T36" s="1559" t="s">
        <v>8</v>
      </c>
      <c r="U36" s="1560" t="e">
        <f t="shared" si="11"/>
        <v>#N/A</v>
      </c>
      <c r="V36" s="1559" t="s">
        <v>8</v>
      </c>
      <c r="W36" s="1560" t="e">
        <f t="shared" si="12"/>
        <v>#N/A</v>
      </c>
      <c r="X36" s="1553"/>
      <c r="Y36" s="3513"/>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513"/>
      <c r="Q37" s="1558" t="str">
        <f t="shared" ref="Q37:Q42" si="14">B37</f>
        <v>宗地形状</v>
      </c>
      <c r="R37" s="1559" t="s">
        <v>8</v>
      </c>
      <c r="S37" s="1560">
        <f t="shared" si="10"/>
        <v>100</v>
      </c>
      <c r="T37" s="1559" t="s">
        <v>8</v>
      </c>
      <c r="U37" s="1560">
        <f t="shared" si="11"/>
        <v>100</v>
      </c>
      <c r="V37" s="1559" t="s">
        <v>8</v>
      </c>
      <c r="W37" s="1560">
        <f t="shared" si="12"/>
        <v>100</v>
      </c>
      <c r="X37" s="1553"/>
      <c r="Y37" s="3513"/>
      <c r="Z37" s="1561" t="str">
        <f t="shared" si="13"/>
        <v>宗地形状</v>
      </c>
      <c r="AA37" s="1562">
        <f t="shared" si="3"/>
        <v>1</v>
      </c>
      <c r="AB37" s="1562">
        <f t="shared" si="4"/>
        <v>1</v>
      </c>
      <c r="AC37" s="1562">
        <f t="shared" si="5"/>
        <v>1</v>
      </c>
    </row>
    <row r="38" spans="1:29" s="1215" customFormat="1" ht="15">
      <c r="A38" s="600"/>
      <c r="B38" s="1880"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513"/>
      <c r="Q38" s="1558" t="str">
        <f t="shared" si="14"/>
        <v>宗地开发程度</v>
      </c>
      <c r="R38" s="1554" t="s">
        <v>8</v>
      </c>
      <c r="S38" s="1555">
        <f t="shared" si="10"/>
        <v>100</v>
      </c>
      <c r="T38" s="1554" t="s">
        <v>8</v>
      </c>
      <c r="U38" s="1555">
        <f t="shared" si="11"/>
        <v>100</v>
      </c>
      <c r="V38" s="1554" t="s">
        <v>8</v>
      </c>
      <c r="W38" s="1555">
        <f t="shared" si="12"/>
        <v>100</v>
      </c>
      <c r="X38" s="1556"/>
      <c r="Y38" s="3513"/>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13" t="s">
        <v>600</v>
      </c>
      <c r="Q39" s="1558" t="str">
        <f t="shared" si="14"/>
        <v>工程地质条件</v>
      </c>
      <c r="R39" s="1559" t="s">
        <v>8</v>
      </c>
      <c r="S39" s="1560">
        <f t="shared" si="10"/>
        <v>100</v>
      </c>
      <c r="T39" s="1559" t="s">
        <v>8</v>
      </c>
      <c r="U39" s="1560">
        <f t="shared" si="11"/>
        <v>100</v>
      </c>
      <c r="V39" s="1559" t="s">
        <v>8</v>
      </c>
      <c r="W39" s="1560">
        <f t="shared" si="12"/>
        <v>100</v>
      </c>
      <c r="X39" s="1553"/>
      <c r="Y39" s="3513"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513"/>
      <c r="Q40" s="1558">
        <f t="shared" si="14"/>
        <v>111</v>
      </c>
      <c r="R40" s="1559" t="s">
        <v>8</v>
      </c>
      <c r="S40" s="1560">
        <f t="shared" si="10"/>
        <v>100</v>
      </c>
      <c r="T40" s="1559" t="s">
        <v>8</v>
      </c>
      <c r="U40" s="1560">
        <f t="shared" si="11"/>
        <v>100</v>
      </c>
      <c r="V40" s="1559" t="s">
        <v>8</v>
      </c>
      <c r="W40" s="1560">
        <f t="shared" si="12"/>
        <v>100</v>
      </c>
      <c r="X40" s="1553"/>
      <c r="Y40" s="351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513"/>
      <c r="Q41" s="1558">
        <f t="shared" si="14"/>
        <v>111</v>
      </c>
      <c r="R41" s="1559" t="s">
        <v>8</v>
      </c>
      <c r="S41" s="1560">
        <f t="shared" si="10"/>
        <v>100</v>
      </c>
      <c r="T41" s="1559" t="s">
        <v>8</v>
      </c>
      <c r="U41" s="1560">
        <f t="shared" si="11"/>
        <v>100</v>
      </c>
      <c r="V41" s="1559" t="s">
        <v>8</v>
      </c>
      <c r="W41" s="1560">
        <f t="shared" si="12"/>
        <v>100</v>
      </c>
      <c r="X41" s="1553"/>
      <c r="Y41" s="3513"/>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513"/>
      <c r="Q42" s="1558">
        <f t="shared" si="14"/>
        <v>111</v>
      </c>
      <c r="R42" s="1563" t="s">
        <v>8</v>
      </c>
      <c r="S42" s="1564">
        <f t="shared" si="10"/>
        <v>100</v>
      </c>
      <c r="T42" s="1563" t="s">
        <v>8</v>
      </c>
      <c r="U42" s="1564">
        <f t="shared" si="11"/>
        <v>100</v>
      </c>
      <c r="V42" s="1563" t="s">
        <v>8</v>
      </c>
      <c r="W42" s="1564">
        <f t="shared" si="12"/>
        <v>100</v>
      </c>
      <c r="X42" s="1565"/>
      <c r="Y42" s="3513"/>
      <c r="Z42" s="1566">
        <f t="shared" si="13"/>
        <v>111</v>
      </c>
      <c r="AA42" s="1562">
        <f t="shared" si="3"/>
        <v>1</v>
      </c>
      <c r="AB42" s="1562">
        <f t="shared" si="4"/>
        <v>1</v>
      </c>
      <c r="AC42" s="1562">
        <f t="shared" si="5"/>
        <v>1</v>
      </c>
    </row>
    <row r="43" spans="1:29" ht="15">
      <c r="A43" s="607" t="s">
        <v>555</v>
      </c>
      <c r="B43" s="608" t="s">
        <v>2921</v>
      </c>
      <c r="C43" s="609" t="s">
        <v>1</v>
      </c>
      <c r="D43" s="610"/>
      <c r="E43" s="611"/>
      <c r="F43" s="612"/>
      <c r="G43" s="613"/>
      <c r="H43" s="614"/>
      <c r="I43" s="611"/>
      <c r="J43" s="614"/>
      <c r="K43" s="1335"/>
      <c r="L43" s="2129"/>
      <c r="M43" s="2119"/>
      <c r="N43" s="2119"/>
      <c r="O43" s="2130"/>
      <c r="P43" s="3476" t="str">
        <f>A43</f>
        <v>成交单价</v>
      </c>
      <c r="Q43" s="3476"/>
      <c r="R43" s="3477">
        <f>E43</f>
        <v>0</v>
      </c>
      <c r="S43" s="3477"/>
      <c r="T43" s="3477">
        <f>G43</f>
        <v>0</v>
      </c>
      <c r="U43" s="3477"/>
      <c r="V43" s="3477">
        <f>I43</f>
        <v>0</v>
      </c>
      <c r="W43" s="3477"/>
      <c r="X43" s="1545"/>
      <c r="Y43" s="1567"/>
      <c r="Z43" s="1545"/>
      <c r="AA43" s="1545"/>
      <c r="AB43" s="1545"/>
      <c r="AC43" s="1545"/>
    </row>
    <row r="44" spans="1:29" ht="15.75" thickBot="1">
      <c r="A44" s="615" t="s">
        <v>2686</v>
      </c>
      <c r="B44" s="616"/>
      <c r="C44" s="617" t="e">
        <f>R45</f>
        <v>#DIV/0!</v>
      </c>
      <c r="D44" s="618"/>
      <c r="E44" s="617" t="e">
        <f>R44</f>
        <v>#DIV/0!</v>
      </c>
      <c r="F44" s="619"/>
      <c r="G44" s="620" t="e">
        <f>T44</f>
        <v>#DIV/0!</v>
      </c>
      <c r="H44" s="618"/>
      <c r="I44" s="617" t="e">
        <f>V44</f>
        <v>#DIV/0!</v>
      </c>
      <c r="J44" s="618"/>
      <c r="K44" s="1336"/>
      <c r="L44" s="2129"/>
      <c r="M44" s="2119"/>
      <c r="N44" s="2119"/>
      <c r="O44" s="2130"/>
      <c r="P44" s="3476" t="str">
        <f>A44</f>
        <v>比较价格（元/平方米）</v>
      </c>
      <c r="Q44" s="3476"/>
      <c r="R44" s="3478" t="e">
        <f>ROUND(PRODUCT(R43,AA9:AA42),0)</f>
        <v>#DIV/0!</v>
      </c>
      <c r="S44" s="3478"/>
      <c r="T44" s="3478" t="e">
        <f>ROUND(PRODUCT(T43,AB9:AB42),0)</f>
        <v>#DIV/0!</v>
      </c>
      <c r="U44" s="3478"/>
      <c r="V44" s="3478" t="e">
        <f>ROUND(PRODUCT(V43,AC9:AC42),0)</f>
        <v>#DIV/0!</v>
      </c>
      <c r="W44" s="3478"/>
      <c r="X44" s="1545"/>
      <c r="Y44" s="1545"/>
      <c r="Z44" s="1545"/>
      <c r="AA44" s="1545"/>
      <c r="AB44" s="1545"/>
      <c r="AC44" s="1545"/>
    </row>
    <row r="45" spans="1:29" ht="15.75" thickBot="1">
      <c r="A45" s="621" t="s">
        <v>2922</v>
      </c>
      <c r="B45" s="622"/>
      <c r="C45" s="623" t="e">
        <f>R45</f>
        <v>#DIV/0!</v>
      </c>
      <c r="D45" s="623"/>
      <c r="E45" s="623"/>
      <c r="F45" s="623"/>
      <c r="G45" s="623"/>
      <c r="H45" s="623"/>
      <c r="I45" s="623"/>
      <c r="J45" s="623"/>
      <c r="K45" s="1337"/>
      <c r="L45" s="2129"/>
      <c r="M45" s="2119"/>
      <c r="N45" s="2119"/>
      <c r="O45" s="2130"/>
      <c r="P45" s="3473" t="str">
        <f>A45</f>
        <v>估价对象XX用房的比较价格（楼面单价，元/平方米）</v>
      </c>
      <c r="Q45" s="3474"/>
      <c r="R45" s="3475" t="e">
        <f>ROUND(AVERAGE(R44:V44),0)</f>
        <v>#DIV/0!</v>
      </c>
      <c r="S45" s="3475"/>
      <c r="T45" s="3475"/>
      <c r="U45" s="3475"/>
      <c r="V45" s="3475"/>
      <c r="W45" s="3475"/>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6" t="s">
        <v>1723</v>
      </c>
      <c r="D52" s="2212" t="s">
        <v>2289</v>
      </c>
      <c r="E52" s="631" t="s">
        <v>561</v>
      </c>
      <c r="F52" s="1936" t="s">
        <v>562</v>
      </c>
      <c r="G52" s="3520" t="s">
        <v>2280</v>
      </c>
      <c r="H52" s="3521"/>
      <c r="I52" s="1937" t="s">
        <v>1944</v>
      </c>
      <c r="J52" s="1541" t="str">
        <f>项目基本情况!F41</f>
        <v>江苏省南京市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563</v>
      </c>
      <c r="B53" s="634" t="e">
        <f>C45</f>
        <v>#DIV/0!</v>
      </c>
      <c r="C53" s="635">
        <v>1</v>
      </c>
      <c r="D53" s="2213">
        <v>1</v>
      </c>
      <c r="E53" s="635">
        <f>'数据-汇总表'!E8+'数据-汇总表'!E9</f>
        <v>215488.30000000002</v>
      </c>
      <c r="F53" s="1935" t="e">
        <f t="shared" ref="F53:F62" si="15">ROUND(B53*E53/10000,0)</f>
        <v>#DIV/0!</v>
      </c>
      <c r="G53" s="3522"/>
      <c r="H53" s="352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564</v>
      </c>
      <c r="B54" s="638" t="e">
        <f>ROUND($C$45*C54*D54,0)</f>
        <v>#DIV/0!</v>
      </c>
      <c r="C54" s="378">
        <f t="shared" ref="C54:C62" si="16">IF($C$52="北京市系数",I54,J54)</f>
        <v>0.7</v>
      </c>
      <c r="D54" s="2214">
        <v>0.25</v>
      </c>
      <c r="E54" s="639"/>
      <c r="F54" s="1935" t="e">
        <f t="shared" si="15"/>
        <v>#DIV/0!</v>
      </c>
      <c r="G54" s="3524" t="s">
        <v>2281</v>
      </c>
      <c r="H54" s="1939" t="str">
        <f>项目基本情况!B43</f>
        <v>五级</v>
      </c>
      <c r="I54" s="1938">
        <f>SUMIF(修正!$A$45:$A$56,H54,修正!B45:B56)</f>
        <v>0.7</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565</v>
      </c>
      <c r="B55" s="638" t="e">
        <f t="shared" ref="B55:B62" si="17">ROUND($C$45*C55*D55,0)</f>
        <v>#DIV/0!</v>
      </c>
      <c r="C55" s="378">
        <f t="shared" si="16"/>
        <v>0.4</v>
      </c>
      <c r="D55" s="2214">
        <v>0.25</v>
      </c>
      <c r="E55" s="639"/>
      <c r="F55" s="1935" t="e">
        <f t="shared" si="15"/>
        <v>#DIV/0!</v>
      </c>
      <c r="G55" s="3524"/>
      <c r="H55" s="1940" t="str">
        <f>项目基本情况!B43</f>
        <v>五级</v>
      </c>
      <c r="I55" s="1938">
        <f>SUMIF(修正!$A$45:$A$56,H55,修正!C45:C56)</f>
        <v>0.4</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566</v>
      </c>
      <c r="B56" s="638" t="e">
        <f t="shared" si="17"/>
        <v>#DIV/0!</v>
      </c>
      <c r="C56" s="378">
        <f t="shared" si="16"/>
        <v>0.28000000000000003</v>
      </c>
      <c r="D56" s="2214">
        <v>0.25</v>
      </c>
      <c r="E56" s="639"/>
      <c r="F56" s="1935" t="e">
        <f t="shared" si="15"/>
        <v>#DIV/0!</v>
      </c>
      <c r="G56" s="3524"/>
      <c r="H56" s="1940" t="str">
        <f>项目基本情况!B43</f>
        <v>五级</v>
      </c>
      <c r="I56" s="1938">
        <f>SUMIF(修正!$A$45:$A$56,H56,修正!D45:D56)</f>
        <v>0.28000000000000003</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567</v>
      </c>
      <c r="B57" s="638" t="e">
        <f t="shared" si="17"/>
        <v>#DIV/0!</v>
      </c>
      <c r="C57" s="378">
        <f t="shared" si="16"/>
        <v>0.25</v>
      </c>
      <c r="D57" s="2214">
        <v>0.25</v>
      </c>
      <c r="E57" s="639"/>
      <c r="F57" s="1935" t="e">
        <f t="shared" si="15"/>
        <v>#DIV/0!</v>
      </c>
      <c r="G57" s="3524"/>
      <c r="H57" s="1940" t="str">
        <f>项目基本情况!B43</f>
        <v>五级</v>
      </c>
      <c r="I57" s="1938">
        <f>SUMIF(修正!$A$45:$A$56,H57,修正!E45:E56)</f>
        <v>0.25</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2322</v>
      </c>
      <c r="B58" s="638" t="e">
        <f t="shared" si="17"/>
        <v>#DIV/0!</v>
      </c>
      <c r="C58" s="378">
        <f t="shared" si="16"/>
        <v>0</v>
      </c>
      <c r="D58" s="2214">
        <v>0.25</v>
      </c>
      <c r="E58" s="641">
        <f>'数据-汇总表'!E11</f>
        <v>0</v>
      </c>
      <c r="F58" s="1935" t="e">
        <f t="shared" si="15"/>
        <v>#DIV/0!</v>
      </c>
      <c r="G58" s="1941" t="s">
        <v>2282</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569</v>
      </c>
      <c r="B60" s="638" t="e">
        <f t="shared" si="17"/>
        <v>#DIV/0!</v>
      </c>
      <c r="C60" s="378">
        <f t="shared" si="16"/>
        <v>0</v>
      </c>
      <c r="D60" s="2214">
        <v>0.25</v>
      </c>
      <c r="E60" s="641">
        <f>'数据-汇总表'!E13</f>
        <v>6020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570</v>
      </c>
      <c r="B61" s="638" t="e">
        <f t="shared" si="17"/>
        <v>#DIV/0!</v>
      </c>
      <c r="C61" s="378">
        <f t="shared" si="16"/>
        <v>0.2</v>
      </c>
      <c r="D61" s="2214">
        <v>0.25</v>
      </c>
      <c r="E61" s="641">
        <f>'数据-汇总表'!E14</f>
        <v>0</v>
      </c>
      <c r="F61" s="1935" t="e">
        <f t="shared" si="15"/>
        <v>#DIV/0!</v>
      </c>
      <c r="G61" s="1941" t="s">
        <v>2281</v>
      </c>
      <c r="H61" s="1940" t="str">
        <f>项目基本情况!B43</f>
        <v>五级</v>
      </c>
      <c r="I61" s="1938">
        <f>SUMIF(修正!$A$45:$A$56,H61,修正!H45:H56)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571</v>
      </c>
      <c r="B62" s="638" t="e">
        <f t="shared" si="17"/>
        <v>#DIV/0!</v>
      </c>
      <c r="C62" s="378">
        <f t="shared" si="16"/>
        <v>0</v>
      </c>
      <c r="D62" s="2214">
        <v>0.25</v>
      </c>
      <c r="E62" s="641">
        <f>'数据-汇总表'!E15</f>
        <v>0</v>
      </c>
      <c r="F62" s="1935" t="e">
        <f t="shared" si="15"/>
        <v>#DIV/0!</v>
      </c>
      <c r="G62" s="1942" t="s">
        <v>2282</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572</v>
      </c>
      <c r="B63" s="643" t="s">
        <v>17</v>
      </c>
      <c r="C63" s="643" t="s">
        <v>18</v>
      </c>
      <c r="D63" s="643" t="s">
        <v>2290</v>
      </c>
      <c r="E63" s="643">
        <f>IF(B43="楼面地价",SUM(E53:E62),'数据-汇总表'!D3)</f>
        <v>77285.8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2526</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2642</v>
      </c>
      <c r="B68" s="479" t="str">
        <f>"北京市平均增长率"&amp;TEXT(基准地价!P24,"0.00%")</f>
        <v>北京市平均增长率1.40%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2541</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2543</v>
      </c>
      <c r="C95" s="2562" t="s">
        <v>2544</v>
      </c>
      <c r="D95" s="2562" t="s">
        <v>2545</v>
      </c>
      <c r="E95" s="2562" t="s">
        <v>2546</v>
      </c>
      <c r="F95" s="2562" t="s">
        <v>2547</v>
      </c>
      <c r="G95" s="2562" t="s">
        <v>2548</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2419</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2420</v>
      </c>
      <c r="D1" s="1508">
        <f>SUM(D29:D30,D33:D39)</f>
        <v>0</v>
      </c>
      <c r="E1" s="1402" t="s">
        <v>2421</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0" t="s">
        <v>2755</v>
      </c>
      <c r="S1" s="2890" t="s">
        <v>2756</v>
      </c>
      <c r="T1" s="2890" t="s">
        <v>2777</v>
      </c>
      <c r="U1" s="2890" t="s">
        <v>2778</v>
      </c>
      <c r="V1" s="2890" t="s">
        <v>2779</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3</v>
      </c>
      <c r="H3" s="1410" t="s">
        <v>928</v>
      </c>
      <c r="I3" s="1039">
        <v>8</v>
      </c>
      <c r="J3" s="1406" t="s">
        <v>929</v>
      </c>
      <c r="K3" s="1406"/>
      <c r="L3" s="1870" t="s">
        <v>2236</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2276</v>
      </c>
      <c r="B4" s="2417" t="e">
        <f>ROUND(B2*10000/F1,0)</f>
        <v>#DIV/0!</v>
      </c>
      <c r="C4" s="1879" t="s">
        <v>2250</v>
      </c>
      <c r="D4" s="1879" t="e">
        <f>ROUND(B2/(F1/666.67),0)</f>
        <v>#DIV/0!</v>
      </c>
      <c r="E4" s="1879" t="s">
        <v>2251</v>
      </c>
      <c r="F4" s="1877"/>
      <c r="G4" s="1877"/>
      <c r="H4" s="1877"/>
      <c r="I4" s="1877"/>
      <c r="J4" s="1878"/>
      <c r="K4" s="3150"/>
      <c r="L4" s="1870" t="s">
        <v>2237</v>
      </c>
      <c r="M4" s="1871">
        <f>SUMPRODUCT((区片价!B49:B75=I2)*(区片价!C3:F3=E2)*(区片价!C49:F75))</f>
        <v>0</v>
      </c>
      <c r="N4" s="1872">
        <f>SUMPRODUCT((因素修正幅度!B49:B75=I2)*(因素修正幅度!C3:F3=E2)*(因素修正幅度!C49:F75))</f>
        <v>0</v>
      </c>
      <c r="O4" s="3150"/>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69" t="e">
        <f>ROUND(C6+C16,0)</f>
        <v>#DIV/0!</v>
      </c>
      <c r="E5" s="3069"/>
      <c r="F5" s="1412"/>
      <c r="G5" s="1413"/>
      <c r="H5" s="1413"/>
      <c r="I5" s="1413"/>
      <c r="J5" s="1414"/>
      <c r="K5" s="3151"/>
      <c r="L5" s="1870" t="s">
        <v>2238</v>
      </c>
      <c r="M5" s="1871">
        <f>SUMPRODUCT((区片价!B76:B109=I2)*(区片价!C3:F3=E2)*(区片价!C76:F109))</f>
        <v>0</v>
      </c>
      <c r="N5" s="1872">
        <f>SUMPRODUCT((因素修正幅度!B76:B109=I2)*(因素修正幅度!C3:F3=E2)*(因素修正幅度!C76:F109))</f>
        <v>0</v>
      </c>
      <c r="O5" s="3151"/>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536" t="str">
        <f>IF(E2="商业",IF(C8="不临58条商业街","",2),"")</f>
        <v/>
      </c>
      <c r="B7" s="1423" t="s">
        <v>931</v>
      </c>
      <c r="C7" s="1042" t="e">
        <f>IF(C8="不临58条商业街",1,ROUND(1+(1.6*E8+1.2*E9+0.8*E10+0.4*E11)*C9,4))</f>
        <v>#DIV/0!</v>
      </c>
      <c r="D7" s="1424" t="s">
        <v>932</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2758</v>
      </c>
      <c r="X7" s="2881">
        <f>G2</f>
        <v>0</v>
      </c>
      <c r="Y7" s="2881" t="s">
        <v>2759</v>
      </c>
      <c r="Z7" s="2882">
        <f>G3</f>
        <v>3</v>
      </c>
      <c r="AA7" s="2177"/>
      <c r="AB7" s="2177"/>
      <c r="AC7" s="2178"/>
      <c r="AD7" s="2883"/>
      <c r="AE7" s="2883"/>
      <c r="AF7" s="2883"/>
      <c r="AG7" s="2883"/>
      <c r="AH7" s="2883"/>
      <c r="AI7" s="2883"/>
      <c r="AJ7" s="2884"/>
    </row>
    <row r="8" spans="1:39" ht="15">
      <c r="A8" s="3537"/>
      <c r="B8" s="1410" t="s">
        <v>933</v>
      </c>
      <c r="C8" s="1516"/>
      <c r="D8" s="1044" t="s">
        <v>934</v>
      </c>
      <c r="E8" s="1045" t="e">
        <f>ROUND(C11/E7,4)</f>
        <v>#DIV/0!</v>
      </c>
      <c r="F8" s="1428" t="s">
        <v>935</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526" t="s">
        <v>2776</v>
      </c>
      <c r="X8" s="3527"/>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537"/>
      <c r="B9" s="1410" t="s">
        <v>936</v>
      </c>
      <c r="C9" s="1046">
        <f>SUMIF(修正!C59:C119,C8,修正!E59:E119)</f>
        <v>0</v>
      </c>
      <c r="D9" s="1047" t="s">
        <v>937</v>
      </c>
      <c r="E9" s="1047" t="e">
        <f>ROUND(C11/E7,4)</f>
        <v>#DIV/0!</v>
      </c>
      <c r="F9" s="1428" t="s">
        <v>938</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525" t="s">
        <v>2772</v>
      </c>
      <c r="X9" s="2885" t="s">
        <v>2773</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37"/>
      <c r="B10" s="1410" t="s">
        <v>939</v>
      </c>
      <c r="C10" s="1047">
        <f>SUMIF(修正!C59:C119,C8,修正!F59:F119)</f>
        <v>0</v>
      </c>
      <c r="D10" s="1047" t="s">
        <v>940</v>
      </c>
      <c r="E10" s="1047" t="e">
        <f>ROUND(C11/E7,4)</f>
        <v>#DIV/0!</v>
      </c>
      <c r="F10" s="1428" t="s">
        <v>941</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525"/>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37"/>
      <c r="B11" s="1431" t="s">
        <v>942</v>
      </c>
      <c r="C11" s="1048">
        <f>C10/4</f>
        <v>0</v>
      </c>
      <c r="D11" s="1048" t="s">
        <v>943</v>
      </c>
      <c r="E11" s="1048" t="e">
        <f>ROUND(C11/E7,4)</f>
        <v>#DIV/0!</v>
      </c>
      <c r="F11" s="1432" t="s">
        <v>944</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525" t="s">
        <v>2774</v>
      </c>
      <c r="X11" s="1047" t="s">
        <v>2759</v>
      </c>
      <c r="Y11" s="1638">
        <f>$G$3</f>
        <v>3</v>
      </c>
      <c r="Z11" s="1638">
        <f t="shared" ref="Z11:AJ11" si="3">$G$3</f>
        <v>3</v>
      </c>
      <c r="AA11" s="1638">
        <f t="shared" si="3"/>
        <v>3</v>
      </c>
      <c r="AB11" s="1638">
        <f t="shared" si="3"/>
        <v>3</v>
      </c>
      <c r="AC11" s="1638">
        <f t="shared" si="3"/>
        <v>3</v>
      </c>
      <c r="AD11" s="1638">
        <f t="shared" si="3"/>
        <v>3</v>
      </c>
      <c r="AE11" s="1638">
        <f t="shared" si="3"/>
        <v>3</v>
      </c>
      <c r="AF11" s="1638">
        <f t="shared" si="3"/>
        <v>3</v>
      </c>
      <c r="AG11" s="1638">
        <f t="shared" si="3"/>
        <v>3</v>
      </c>
      <c r="AH11" s="1638">
        <f t="shared" si="3"/>
        <v>3</v>
      </c>
      <c r="AI11" s="1638">
        <f t="shared" si="3"/>
        <v>3</v>
      </c>
      <c r="AJ11" s="1638">
        <f t="shared" si="3"/>
        <v>3</v>
      </c>
    </row>
    <row r="12" spans="1:39" ht="25.5" thickBot="1">
      <c r="A12" s="3536" t="s">
        <v>1870</v>
      </c>
      <c r="B12" s="1435" t="s">
        <v>945</v>
      </c>
      <c r="C12" s="1042">
        <f>ROUND(C15*D15*E15*F15*G15*H15*I15*J15,4)</f>
        <v>1</v>
      </c>
      <c r="D12" s="1436" t="s">
        <v>946</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525"/>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38"/>
      <c r="B13" s="1440" t="s">
        <v>1695</v>
      </c>
      <c r="C13" s="1441" t="s">
        <v>1696</v>
      </c>
      <c r="D13" s="1084" t="s">
        <v>1697</v>
      </c>
      <c r="E13" s="1084" t="s">
        <v>1698</v>
      </c>
      <c r="F13" s="1442" t="s">
        <v>947</v>
      </c>
      <c r="G13" s="1443" t="s">
        <v>1641</v>
      </c>
      <c r="H13" s="1444" t="s">
        <v>1641</v>
      </c>
      <c r="I13" s="1445" t="s">
        <v>1641</v>
      </c>
      <c r="J13" s="1446" t="s">
        <v>1641</v>
      </c>
      <c r="K13" s="3166"/>
      <c r="L13" s="3166"/>
      <c r="M13" s="3166"/>
      <c r="N13" s="3166"/>
      <c r="O13" s="3166"/>
      <c r="P13" s="1397"/>
      <c r="Q13" s="2174"/>
      <c r="R13" s="2891">
        <v>12</v>
      </c>
      <c r="S13" s="2880"/>
      <c r="T13" s="2891" t="e">
        <f t="shared" si="0"/>
        <v>#DIV/0!</v>
      </c>
      <c r="U13" s="2880"/>
      <c r="V13" s="2891" t="e">
        <f t="shared" si="1"/>
        <v>#DIV/0!</v>
      </c>
      <c r="W13" s="3525"/>
      <c r="X13" s="2888"/>
      <c r="Y13" s="2887">
        <f>(-0.163*(Y12^2)-0.59*Y12+7617)*(10^(-4))/Y11</f>
        <v>0.25390000000000001</v>
      </c>
      <c r="Z13" s="2887">
        <f t="shared" ref="Z13:AJ13" si="5">(-0.163*(Z12^2)-0.59*Z12+7617)*(10^(-4))/Z11</f>
        <v>0.25390000000000001</v>
      </c>
      <c r="AA13" s="2887">
        <f t="shared" si="5"/>
        <v>0.25390000000000001</v>
      </c>
      <c r="AB13" s="2887">
        <f t="shared" si="5"/>
        <v>0.25390000000000001</v>
      </c>
      <c r="AC13" s="2887">
        <f t="shared" si="5"/>
        <v>0.25390000000000001</v>
      </c>
      <c r="AD13" s="2887">
        <f t="shared" si="5"/>
        <v>0.25390000000000001</v>
      </c>
      <c r="AE13" s="2887">
        <f t="shared" si="5"/>
        <v>0.25390000000000001</v>
      </c>
      <c r="AF13" s="2887">
        <f t="shared" si="5"/>
        <v>0.25390000000000001</v>
      </c>
      <c r="AG13" s="2887">
        <f t="shared" si="5"/>
        <v>0.25390000000000001</v>
      </c>
      <c r="AH13" s="2887">
        <f t="shared" si="5"/>
        <v>0.25390000000000001</v>
      </c>
      <c r="AI13" s="2887">
        <f t="shared" si="5"/>
        <v>0.25390000000000001</v>
      </c>
      <c r="AJ13" s="2887">
        <f t="shared" si="5"/>
        <v>0.25390000000000001</v>
      </c>
    </row>
    <row r="14" spans="1:39" ht="12.75" customHeight="1">
      <c r="A14" s="3538"/>
      <c r="B14" s="1447"/>
      <c r="C14" s="1448"/>
      <c r="D14" s="1449"/>
      <c r="E14" s="1449"/>
      <c r="F14" s="1450"/>
      <c r="G14" s="1451" t="s">
        <v>948</v>
      </c>
      <c r="H14" s="1452"/>
      <c r="I14" s="1453"/>
      <c r="J14" s="1454"/>
      <c r="K14" s="3152"/>
      <c r="L14" s="3152"/>
      <c r="M14" s="3152"/>
      <c r="N14" s="3152"/>
      <c r="O14" s="3152"/>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539"/>
      <c r="B15" s="3171" t="s">
        <v>1699</v>
      </c>
      <c r="C15" s="1048">
        <f>IF(C14="有",1.1,1)</f>
        <v>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536" t="s">
        <v>1837</v>
      </c>
      <c r="B16" s="1423" t="s">
        <v>949</v>
      </c>
      <c r="C16" s="1051" t="e">
        <f>ROUND(IF(F17="与级别开发程度一致",0,(G17-E17)/C17),0)</f>
        <v>#DIV/0!</v>
      </c>
      <c r="D16" s="3533" t="s">
        <v>953</v>
      </c>
      <c r="E16" s="3534"/>
      <c r="F16" s="3533" t="s">
        <v>950</v>
      </c>
      <c r="G16" s="3534"/>
      <c r="H16" s="1455"/>
      <c r="I16" s="1455"/>
      <c r="J16" s="1455"/>
      <c r="K16" s="1455"/>
      <c r="L16" s="1455"/>
      <c r="M16" s="1455"/>
      <c r="N16" s="1455"/>
      <c r="O16" s="3176"/>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540"/>
      <c r="B17" s="3177" t="s">
        <v>952</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72" t="s">
        <v>954</v>
      </c>
      <c r="C18" s="3173">
        <f>SUMIF(修正!C18:C39,E3,修正!E18:E39)</f>
        <v>0</v>
      </c>
      <c r="D18" s="3174"/>
      <c r="E18" s="3175"/>
      <c r="F18" s="3157"/>
      <c r="G18" s="3151"/>
      <c r="H18" s="3151"/>
      <c r="I18" s="3151"/>
      <c r="J18" s="3165"/>
      <c r="K18" s="3151"/>
      <c r="L18" s="3151"/>
      <c r="M18" s="3151"/>
      <c r="N18" s="3151"/>
      <c r="O18" s="3151"/>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t="e">
        <f>ROUND(IF(H19="按公示增长率计算",SUMPRODUCT((地价!A3:A26=YEAR(G19)&amp;"-"&amp;ROUNDUP(MONTH(G19)/3,0))*(地价!X2:AB2=E2)*(地价!X3:AB26)),IF(H19="地价指数",M20/M19,(1+I19)^O19)),4)</f>
        <v>#VALUE!</v>
      </c>
      <c r="D19" s="1462" t="s">
        <v>956</v>
      </c>
      <c r="E19" s="1053">
        <v>41640</v>
      </c>
      <c r="F19" s="1462" t="s">
        <v>957</v>
      </c>
      <c r="G19" s="1054">
        <f>'数据-取费表'!B2</f>
        <v>43629</v>
      </c>
      <c r="H19" s="1463"/>
      <c r="I19" s="2740" t="str">
        <f>IF(H19="季度增幅（自定义）",SUMIF(N21:N24,E2,O21:O24),"")</f>
        <v/>
      </c>
      <c r="J19" s="1459"/>
      <c r="K19" s="3151"/>
      <c r="L19" s="2991" t="s">
        <v>2834</v>
      </c>
      <c r="M19" s="2992">
        <f>ROUND(SUMIF(地价!B2:F2,E2,地价!B26:F26),0)</f>
        <v>0</v>
      </c>
      <c r="N19" s="2742" t="s">
        <v>1675</v>
      </c>
      <c r="O19" s="2741">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4">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3"/>
      <c r="L20" s="2993" t="s">
        <v>2835</v>
      </c>
      <c r="M20" s="3160">
        <f>ROUND(SUMPRODUCT((地价!A4:A26=YEAR(G19)&amp;"-"&amp;ROUNDUP(MONTH(G19)/3,0))*(地价!B2:F2=E2)*(地价!B4:F26)),0)</f>
        <v>0</v>
      </c>
      <c r="N20" s="2745" t="s">
        <v>2638</v>
      </c>
      <c r="O20" s="2743" t="s">
        <v>2637</v>
      </c>
      <c r="P20" s="2744" t="s">
        <v>2643</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2754</v>
      </c>
      <c r="C21" s="1153">
        <f>IF(B21="容积率修正",IF(G3&lt;=10,D22,J22),C23)</f>
        <v>0</v>
      </c>
      <c r="D21" s="1469"/>
      <c r="E21" s="1469"/>
      <c r="F21" s="1469"/>
      <c r="G21" s="1469"/>
      <c r="H21" s="1469"/>
      <c r="I21" s="1469"/>
      <c r="J21" s="1470"/>
      <c r="K21" s="3151"/>
      <c r="L21" s="1469"/>
      <c r="M21" s="1469"/>
      <c r="N21" s="1466" t="s">
        <v>974</v>
      </c>
      <c r="O21" s="1529"/>
      <c r="P21" s="2732">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4"/>
      <c r="L22" s="1469"/>
      <c r="M22" s="1469"/>
      <c r="N22" s="1466" t="s">
        <v>977</v>
      </c>
      <c r="O22" s="1529"/>
      <c r="P22" s="2732">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5"/>
      <c r="L23" s="1397"/>
      <c r="M23" s="1397"/>
      <c r="N23" s="1466" t="s">
        <v>922</v>
      </c>
      <c r="O23" s="1529"/>
      <c r="P23" s="2732">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5"/>
      <c r="L24" s="1469"/>
      <c r="M24" s="1469"/>
      <c r="N24" s="1466" t="s">
        <v>980</v>
      </c>
      <c r="O24" s="3159"/>
      <c r="P24" s="2732">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61" t="s">
        <v>2641</v>
      </c>
      <c r="O25" s="3162"/>
      <c r="P25" s="2411">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6"/>
      <c r="L29" s="3156"/>
      <c r="M29" s="3156"/>
      <c r="N29" s="3156"/>
      <c r="O29" s="3156"/>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7"/>
      <c r="L32" s="3157"/>
      <c r="M32" s="3157"/>
      <c r="N32" s="3157"/>
      <c r="O32" s="3157"/>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543" t="s">
        <v>2948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8"/>
      <c r="L33" s="3158"/>
      <c r="M33" s="3158"/>
      <c r="N33" s="3158"/>
      <c r="O33" s="3158"/>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544"/>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8"/>
      <c r="L34" s="3158"/>
      <c r="M34" s="3158"/>
      <c r="N34" s="3158"/>
      <c r="O34" s="3158"/>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544"/>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8"/>
      <c r="L35" s="3158"/>
      <c r="M35" s="3158"/>
      <c r="N35" s="3158"/>
      <c r="O35" s="3158"/>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545"/>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8"/>
      <c r="L36" s="3158"/>
      <c r="M36" s="3158"/>
      <c r="N36" s="3158"/>
      <c r="O36" s="3158"/>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2975</v>
      </c>
      <c r="C41" s="839" t="e">
        <f>ROUND(POWER(1+E41,H41-G41)*(POWER(1+E41,G41)-1)/(POWER(1+E41,H41)-1),4)</f>
        <v>#DIV/0!</v>
      </c>
      <c r="D41" s="378" t="s">
        <v>2973</v>
      </c>
      <c r="E41" s="3146">
        <f>G20</f>
        <v>0</v>
      </c>
      <c r="F41" s="378" t="s">
        <v>2974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2246</v>
      </c>
      <c r="G46" s="2395" t="s">
        <v>1013</v>
      </c>
      <c r="H46" s="2378" t="s">
        <v>2412</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t="str">
        <f>估价对象房地状况!C16</f>
        <v>较好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14.25">
      <c r="A48" s="1062" t="s">
        <v>1020</v>
      </c>
      <c r="B48" s="2372" t="str">
        <f>估价对象房地状况!C18</f>
        <v>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t="str">
        <f>估价对象房地状况!C19</f>
        <v>较好</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6" t="s">
        <v>2924</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5" t="s">
        <v>2923</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一般</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六通</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2247</v>
      </c>
      <c r="G57" s="2395" t="s">
        <v>1013</v>
      </c>
      <c r="H57" s="2378" t="s">
        <v>2412</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t="str">
        <f>估价对象房地状况!C17</f>
        <v>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14.25">
      <c r="A59" s="1062" t="s">
        <v>1020</v>
      </c>
      <c r="B59" s="2372" t="str">
        <f>估价对象房地状况!C18</f>
        <v>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t="str">
        <f>估价对象房地状况!C19</f>
        <v>较好</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6" t="s">
        <v>2925</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5" t="s">
        <v>2923</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一般</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六通</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2248</v>
      </c>
      <c r="G68" s="2395" t="s">
        <v>1013</v>
      </c>
      <c r="H68" s="2378" t="s">
        <v>2412</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t="str">
        <f>估价对象房地状况!C15</f>
        <v>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14.25">
      <c r="A70" s="1062" t="s">
        <v>1032</v>
      </c>
      <c r="B70" s="2372" t="str">
        <f>估价对象房地状况!C18</f>
        <v>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t="str">
        <f>估价对象房地状况!C19</f>
        <v>较好</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一般</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六通</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5" t="s">
        <v>2923</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2249</v>
      </c>
      <c r="G79" s="2395" t="s">
        <v>1013</v>
      </c>
      <c r="H79" s="2378" t="s">
        <v>2412</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5" t="s">
        <v>2923</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541" t="s">
        <v>1632</v>
      </c>
      <c r="B90" s="3541"/>
      <c r="C90" s="3541"/>
      <c r="D90" s="3541"/>
      <c r="E90" s="3541"/>
      <c r="F90" s="3541"/>
      <c r="G90" s="3541"/>
      <c r="H90" s="3541"/>
      <c r="I90" s="3541"/>
      <c r="J90" s="3541"/>
      <c r="K90" s="2414"/>
      <c r="L90" s="2414"/>
      <c r="M90" s="2414"/>
      <c r="N90" s="2414"/>
    </row>
    <row r="91" spans="1:40">
      <c r="A91" s="3542" t="s">
        <v>1442</v>
      </c>
      <c r="B91" s="3542" t="s">
        <v>1633</v>
      </c>
      <c r="C91" s="1135" t="s">
        <v>1634</v>
      </c>
      <c r="D91" s="1136"/>
      <c r="E91" s="1136"/>
      <c r="F91" s="1136"/>
      <c r="G91" s="1136"/>
      <c r="H91" s="1136"/>
      <c r="I91" s="1136"/>
      <c r="J91" s="1137"/>
      <c r="K91" s="1129"/>
      <c r="L91" s="1129"/>
      <c r="M91" s="1129"/>
      <c r="N91" s="1129"/>
    </row>
    <row r="92" spans="1:40">
      <c r="A92" s="3542"/>
      <c r="B92" s="3542"/>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528"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29"/>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28" t="s">
        <v>1636</v>
      </c>
      <c r="B101" s="1142" t="s">
        <v>905</v>
      </c>
      <c r="C101" s="1143">
        <f>$G$3</f>
        <v>3</v>
      </c>
      <c r="D101" s="1143">
        <f t="shared" ref="D101:N101" si="31">$G$3</f>
        <v>3</v>
      </c>
      <c r="E101" s="1143">
        <f t="shared" si="31"/>
        <v>3</v>
      </c>
      <c r="F101" s="1143">
        <f t="shared" si="31"/>
        <v>3</v>
      </c>
      <c r="G101" s="1143">
        <f t="shared" si="31"/>
        <v>3</v>
      </c>
      <c r="H101" s="1143">
        <f t="shared" si="31"/>
        <v>3</v>
      </c>
      <c r="I101" s="1143">
        <f t="shared" si="31"/>
        <v>3</v>
      </c>
      <c r="J101" s="1143">
        <f t="shared" si="31"/>
        <v>3</v>
      </c>
      <c r="K101" s="1143">
        <f t="shared" si="31"/>
        <v>3</v>
      </c>
      <c r="L101" s="1143">
        <f t="shared" si="31"/>
        <v>3</v>
      </c>
      <c r="M101" s="1143">
        <f t="shared" si="31"/>
        <v>3</v>
      </c>
      <c r="N101" s="1143">
        <f t="shared" si="31"/>
        <v>3</v>
      </c>
    </row>
    <row r="102" spans="1:14">
      <c r="A102" s="3529"/>
      <c r="B102" s="1138">
        <v>1</v>
      </c>
      <c r="C102" s="1139">
        <f>1.9362/C101</f>
        <v>0.64539999999999997</v>
      </c>
      <c r="D102" s="1139">
        <f>1.9362/D101</f>
        <v>0.64539999999999997</v>
      </c>
      <c r="E102" s="1139">
        <f>1.8629/E101</f>
        <v>0.62096666666666667</v>
      </c>
      <c r="F102" s="1139">
        <f>1.8629/F101</f>
        <v>0.62096666666666667</v>
      </c>
      <c r="G102" s="1139">
        <f>1.8629/G101</f>
        <v>0.62096666666666667</v>
      </c>
      <c r="H102" s="1139">
        <f>1.8629/H101</f>
        <v>0.62096666666666667</v>
      </c>
      <c r="I102" s="1139">
        <f>1.8629/I101</f>
        <v>0.62096666666666667</v>
      </c>
      <c r="J102" s="1139">
        <f>1.942/J101</f>
        <v>0.64733333333333332</v>
      </c>
      <c r="K102" s="1139">
        <f>1.942/K101</f>
        <v>0.64733333333333332</v>
      </c>
      <c r="L102" s="1139">
        <f>1.942/L101</f>
        <v>0.64733333333333332</v>
      </c>
      <c r="M102" s="1139">
        <f>1.942/M101</f>
        <v>0.64733333333333332</v>
      </c>
      <c r="N102" s="1139">
        <f>1.942/N101</f>
        <v>0.64733333333333332</v>
      </c>
    </row>
    <row r="103" spans="1:14">
      <c r="A103" s="3529"/>
      <c r="B103" s="1138">
        <v>2</v>
      </c>
      <c r="C103" s="1139">
        <f>1.4198/C101</f>
        <v>0.47326666666666667</v>
      </c>
      <c r="D103" s="1139">
        <f>1.4198/D101</f>
        <v>0.47326666666666667</v>
      </c>
      <c r="E103" s="1139">
        <f>1.3372/E101</f>
        <v>0.44573333333333331</v>
      </c>
      <c r="F103" s="1139">
        <f>1.3372/F101</f>
        <v>0.44573333333333331</v>
      </c>
      <c r="G103" s="1139">
        <f>1.3372/G101</f>
        <v>0.44573333333333331</v>
      </c>
      <c r="H103" s="1139">
        <f>1.3372/H101</f>
        <v>0.44573333333333331</v>
      </c>
      <c r="I103" s="1139">
        <f>1.3372/I101</f>
        <v>0.44573333333333331</v>
      </c>
      <c r="J103" s="1139">
        <f>1.2799/J101</f>
        <v>0.42663333333333336</v>
      </c>
      <c r="K103" s="1139">
        <f>1.2799/K101</f>
        <v>0.42663333333333336</v>
      </c>
      <c r="L103" s="1139">
        <f>1.2799/L101</f>
        <v>0.42663333333333336</v>
      </c>
      <c r="M103" s="1139">
        <f>1.2799/M101</f>
        <v>0.42663333333333336</v>
      </c>
      <c r="N103" s="1139">
        <f>1.2799/N101</f>
        <v>0.42663333333333336</v>
      </c>
    </row>
    <row r="104" spans="1:14">
      <c r="A104" s="3529"/>
      <c r="B104" s="1138">
        <v>3</v>
      </c>
      <c r="C104" s="1139">
        <f>1.1594/C101</f>
        <v>0.38646666666666668</v>
      </c>
      <c r="D104" s="1139">
        <f>1.1594/D101</f>
        <v>0.38646666666666668</v>
      </c>
      <c r="E104" s="1139">
        <f>1.0788/E101</f>
        <v>0.35959999999999998</v>
      </c>
      <c r="F104" s="1139">
        <f>1.0788/F101</f>
        <v>0.35959999999999998</v>
      </c>
      <c r="G104" s="1139">
        <f>1.0788/G101</f>
        <v>0.35959999999999998</v>
      </c>
      <c r="H104" s="1139">
        <f>1.0788/H101</f>
        <v>0.35959999999999998</v>
      </c>
      <c r="I104" s="1139">
        <f>1.0788/I101</f>
        <v>0.35959999999999998</v>
      </c>
      <c r="J104" s="1139">
        <f>1.0072/J101</f>
        <v>0.33573333333333338</v>
      </c>
      <c r="K104" s="1139">
        <f>1.0072/K101</f>
        <v>0.33573333333333338</v>
      </c>
      <c r="L104" s="1139">
        <f>1.0072/L101</f>
        <v>0.33573333333333338</v>
      </c>
      <c r="M104" s="1139">
        <f>1.0072/M101</f>
        <v>0.33573333333333338</v>
      </c>
      <c r="N104" s="1139">
        <f>1.0072/N101</f>
        <v>0.33573333333333338</v>
      </c>
    </row>
    <row r="105" spans="1:14">
      <c r="A105" s="3529"/>
      <c r="B105" s="1138">
        <v>4</v>
      </c>
      <c r="C105" s="1139">
        <f>0.9622/C101</f>
        <v>0.32073333333333337</v>
      </c>
      <c r="D105" s="1139">
        <f>0.9622/D101</f>
        <v>0.32073333333333337</v>
      </c>
      <c r="E105" s="1139">
        <f>0.8656/E101</f>
        <v>0.28853333333333336</v>
      </c>
      <c r="F105" s="1139">
        <f>0.8656/F101</f>
        <v>0.28853333333333336</v>
      </c>
      <c r="G105" s="1139">
        <f>0.8656/G101</f>
        <v>0.28853333333333336</v>
      </c>
      <c r="H105" s="1139">
        <f>0.8656/H101</f>
        <v>0.28853333333333336</v>
      </c>
      <c r="I105" s="1139">
        <f>0.8656/I101</f>
        <v>0.28853333333333336</v>
      </c>
      <c r="J105" s="1139">
        <f>0.7525/J101</f>
        <v>0.2508333333333333</v>
      </c>
      <c r="K105" s="1139">
        <f>0.7525/K101</f>
        <v>0.2508333333333333</v>
      </c>
      <c r="L105" s="1139">
        <f>0.7525/L101</f>
        <v>0.2508333333333333</v>
      </c>
      <c r="M105" s="1139">
        <f>0.7525/M101</f>
        <v>0.2508333333333333</v>
      </c>
      <c r="N105" s="1139">
        <f>0.7525/N101</f>
        <v>0.2508333333333333</v>
      </c>
    </row>
    <row r="106" spans="1:14">
      <c r="A106" s="3529"/>
      <c r="B106" s="1138">
        <v>5</v>
      </c>
      <c r="C106" s="1139">
        <f>0.8417/C101</f>
        <v>0.28056666666666669</v>
      </c>
      <c r="D106" s="1139">
        <f>0.8417/D101</f>
        <v>0.28056666666666669</v>
      </c>
      <c r="E106" s="1139">
        <f>0.7371/E101</f>
        <v>0.2457</v>
      </c>
      <c r="F106" s="1139">
        <f>0.7371/F101</f>
        <v>0.2457</v>
      </c>
      <c r="G106" s="1139">
        <f>0.7371/G101</f>
        <v>0.2457</v>
      </c>
      <c r="H106" s="1139">
        <f>0.7371/H101</f>
        <v>0.2457</v>
      </c>
      <c r="I106" s="1139">
        <f>0.7371/I101</f>
        <v>0.2457</v>
      </c>
      <c r="J106" s="1139">
        <f>0.5659/J101</f>
        <v>0.18863333333333332</v>
      </c>
      <c r="K106" s="1139">
        <f>0.5659/K101</f>
        <v>0.18863333333333332</v>
      </c>
      <c r="L106" s="1139">
        <f>0.5659/L101</f>
        <v>0.18863333333333332</v>
      </c>
      <c r="M106" s="1139">
        <f>0.5659/M101</f>
        <v>0.18863333333333332</v>
      </c>
      <c r="N106" s="1139">
        <f>0.5659/N101</f>
        <v>0.18863333333333332</v>
      </c>
    </row>
    <row r="107" spans="1:14">
      <c r="A107" s="3529"/>
      <c r="B107" s="1138">
        <v>6</v>
      </c>
      <c r="C107" s="1139">
        <f>0.7608/C101</f>
        <v>0.25359999999999999</v>
      </c>
      <c r="D107" s="1139">
        <f>0.7608/D101</f>
        <v>0.25359999999999999</v>
      </c>
      <c r="E107" s="1139">
        <f>0.6482/E101</f>
        <v>0.21606666666666666</v>
      </c>
      <c r="F107" s="1139">
        <f>0.6482/F101</f>
        <v>0.21606666666666666</v>
      </c>
      <c r="G107" s="1139">
        <f>0.6482/G101</f>
        <v>0.21606666666666666</v>
      </c>
      <c r="H107" s="1139">
        <f>0.6482/H101</f>
        <v>0.21606666666666666</v>
      </c>
      <c r="I107" s="1139">
        <f>0.6482/I101</f>
        <v>0.21606666666666666</v>
      </c>
      <c r="J107" s="1139">
        <f>0.4525/J101</f>
        <v>0.15083333333333335</v>
      </c>
      <c r="K107" s="1139">
        <f>0.4525/K101</f>
        <v>0.15083333333333335</v>
      </c>
      <c r="L107" s="1139">
        <f>0.4525/L101</f>
        <v>0.15083333333333335</v>
      </c>
      <c r="M107" s="1139">
        <f>0.4525/M101</f>
        <v>0.15083333333333335</v>
      </c>
      <c r="N107" s="1139">
        <f>0.4525/N101</f>
        <v>0.15083333333333335</v>
      </c>
    </row>
    <row r="108" spans="1:14">
      <c r="A108" s="3529"/>
      <c r="B108" s="3531"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30"/>
      <c r="B109" s="3532"/>
      <c r="C109" s="1141">
        <f>(-0.163*(C108^2)-0.59*C108+7617)*(10^(-4))/C101</f>
        <v>0.25339493333333335</v>
      </c>
      <c r="D109" s="1141">
        <f>(-0.163*(D108^2)-0.59*D108+7617)*(10^(-4))/D101</f>
        <v>0.25339493333333335</v>
      </c>
      <c r="E109" s="1141">
        <f>(-0.161*(E108^2)-7.509*E108+6533)*(10^(-4))/E101</f>
        <v>0.2154208</v>
      </c>
      <c r="F109" s="1141">
        <f>(-0.161*(F108^2)-7.509*F108+6533)*(10^(-4))/F101</f>
        <v>0.2154208</v>
      </c>
      <c r="G109" s="1141">
        <f>(-0.161*(G108^2)-7.509*G108+6533)*(10^(-4))/G101</f>
        <v>0.2154208</v>
      </c>
      <c r="H109" s="1141">
        <f>(-0.161*(H108^2)-7.509*H108+6533)*(10^(-4))/H101</f>
        <v>0.2154208</v>
      </c>
      <c r="I109" s="1141">
        <f>(-0.161*(I108^2)-7.509*I108+6533)*(10^(-4))/I101</f>
        <v>0.2154208</v>
      </c>
      <c r="J109" s="1141">
        <f>(-0.214*(J108^2)-21.991*J108+4665)*(10^(-4))/J101</f>
        <v>0.14917920000000001</v>
      </c>
      <c r="K109" s="1141">
        <f>(-0.214*(K108^2)-21.991*K108+4665)*(10^(-4))/K101</f>
        <v>0.14917920000000001</v>
      </c>
      <c r="L109" s="1141">
        <f>(-0.214*(L108^2)-21.991*L108+4665)*(10^(-4))/L101</f>
        <v>0.14917920000000001</v>
      </c>
      <c r="M109" s="1141">
        <f>(-0.214*(M108^2)-21.991*M108+4665)*(10^(-4))/M101</f>
        <v>0.14917920000000001</v>
      </c>
      <c r="N109" s="1141">
        <f>(-0.214*(N108^2)-21.991*N108+4665)*(10^(-4))/N101</f>
        <v>0.14917920000000001</v>
      </c>
    </row>
    <row r="110" spans="1:14">
      <c r="A110" s="3535" t="s">
        <v>1638</v>
      </c>
      <c r="B110" s="3535"/>
      <c r="C110" s="3535"/>
      <c r="D110" s="3535"/>
      <c r="E110" s="3535"/>
      <c r="F110" s="3535"/>
      <c r="G110" s="3535"/>
      <c r="H110" s="3535"/>
      <c r="I110" s="3535"/>
      <c r="J110" s="3535"/>
      <c r="K110" s="2412"/>
      <c r="L110" s="2412"/>
      <c r="M110" s="2412"/>
      <c r="N110" s="2412"/>
    </row>
    <row r="112" spans="1:14" ht="12.75" thickBot="1"/>
    <row r="113" spans="1:13" ht="25.5" thickBot="1">
      <c r="A113" s="1015" t="s">
        <v>895</v>
      </c>
      <c r="B113" s="2415">
        <f>G3</f>
        <v>3</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900</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901</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902</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2978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542" t="s">
        <v>1006</v>
      </c>
      <c r="B18" s="1149" t="s">
        <v>1445</v>
      </c>
      <c r="C18" s="1126" t="s">
        <v>1446</v>
      </c>
      <c r="D18" s="1127"/>
      <c r="E18" s="1149">
        <v>1</v>
      </c>
      <c r="F18" s="1128" t="s">
        <v>1447</v>
      </c>
      <c r="G18" s="1129"/>
      <c r="H18" s="1100"/>
      <c r="I18" s="1100"/>
    </row>
    <row r="19" spans="1:9" s="1584" customFormat="1" ht="19.5" customHeight="1">
      <c r="A19" s="3542"/>
      <c r="B19" s="3542" t="s">
        <v>1448</v>
      </c>
      <c r="C19" s="1126" t="s">
        <v>1449</v>
      </c>
      <c r="D19" s="1127"/>
      <c r="E19" s="1149">
        <v>0.9</v>
      </c>
      <c r="F19" s="1128" t="s">
        <v>1450</v>
      </c>
      <c r="G19" s="1129"/>
      <c r="H19" s="1100"/>
      <c r="I19" s="1100"/>
    </row>
    <row r="20" spans="1:9" s="1584" customFormat="1" ht="19.5" customHeight="1">
      <c r="A20" s="3542"/>
      <c r="B20" s="3542"/>
      <c r="C20" s="1126" t="s">
        <v>1451</v>
      </c>
      <c r="D20" s="1127"/>
      <c r="E20" s="1149">
        <v>1.1000000000000001</v>
      </c>
      <c r="F20" s="1128" t="s">
        <v>1452</v>
      </c>
      <c r="G20" s="1129"/>
      <c r="H20" s="1100"/>
      <c r="I20" s="1100"/>
    </row>
    <row r="21" spans="1:9" s="1584" customFormat="1" ht="19.5" customHeight="1">
      <c r="A21" s="3542"/>
      <c r="B21" s="3542"/>
      <c r="C21" s="1126" t="s">
        <v>1453</v>
      </c>
      <c r="D21" s="1127"/>
      <c r="E21" s="1149">
        <v>0.8</v>
      </c>
      <c r="F21" s="1128" t="s">
        <v>1454</v>
      </c>
      <c r="G21" s="1129"/>
      <c r="H21" s="1100"/>
      <c r="I21" s="1100"/>
    </row>
    <row r="22" spans="1:9" s="1584" customFormat="1" ht="19.5" customHeight="1">
      <c r="A22" s="3542"/>
      <c r="B22" s="3542"/>
      <c r="C22" s="1126" t="s">
        <v>1455</v>
      </c>
      <c r="D22" s="1127"/>
      <c r="E22" s="1149">
        <v>0.5</v>
      </c>
      <c r="F22" s="1128"/>
      <c r="G22" s="1129"/>
      <c r="H22" s="1100"/>
      <c r="I22" s="1100"/>
    </row>
    <row r="23" spans="1:9" s="1584" customFormat="1" ht="19.5" customHeight="1">
      <c r="A23" s="3542" t="s">
        <v>1028</v>
      </c>
      <c r="B23" s="1149" t="s">
        <v>1445</v>
      </c>
      <c r="C23" s="1126" t="s">
        <v>1456</v>
      </c>
      <c r="D23" s="1127"/>
      <c r="E23" s="1149">
        <v>1</v>
      </c>
      <c r="F23" s="1128" t="s">
        <v>1457</v>
      </c>
      <c r="G23" s="1129"/>
      <c r="H23" s="1100"/>
      <c r="I23" s="1100"/>
    </row>
    <row r="24" spans="1:9" s="1584" customFormat="1" ht="19.5" customHeight="1">
      <c r="A24" s="3542"/>
      <c r="B24" s="3542" t="s">
        <v>1448</v>
      </c>
      <c r="C24" s="1126" t="s">
        <v>1458</v>
      </c>
      <c r="D24" s="1127"/>
      <c r="E24" s="1149">
        <v>0.5</v>
      </c>
      <c r="F24" s="1128"/>
      <c r="G24" s="1129"/>
      <c r="H24" s="1100"/>
      <c r="I24" s="1100"/>
    </row>
    <row r="25" spans="1:9" s="1584" customFormat="1" ht="19.5" customHeight="1">
      <c r="A25" s="3542"/>
      <c r="B25" s="3542"/>
      <c r="C25" s="1126" t="s">
        <v>1459</v>
      </c>
      <c r="D25" s="1127"/>
      <c r="E25" s="1149">
        <v>1.1000000000000001</v>
      </c>
      <c r="F25" s="1128"/>
      <c r="G25" s="1129"/>
      <c r="H25" s="1100"/>
      <c r="I25" s="1100"/>
    </row>
    <row r="26" spans="1:9" s="1584" customFormat="1" ht="19.5" customHeight="1">
      <c r="A26" s="3542"/>
      <c r="B26" s="3542"/>
      <c r="C26" s="1126" t="s">
        <v>1460</v>
      </c>
      <c r="D26" s="1127"/>
      <c r="E26" s="1149">
        <v>1.1000000000000001</v>
      </c>
      <c r="F26" s="1128"/>
      <c r="G26" s="1129"/>
      <c r="H26" s="1100"/>
      <c r="I26" s="1100"/>
    </row>
    <row r="27" spans="1:9" s="1584" customFormat="1" ht="19.5" customHeight="1">
      <c r="A27" s="3542"/>
      <c r="B27" s="3542"/>
      <c r="C27" s="1126" t="s">
        <v>1461</v>
      </c>
      <c r="D27" s="1127"/>
      <c r="E27" s="1149">
        <v>0.9</v>
      </c>
      <c r="F27" s="1128" t="s">
        <v>1462</v>
      </c>
      <c r="G27" s="1129"/>
      <c r="H27" s="1100"/>
      <c r="I27" s="1100"/>
    </row>
    <row r="28" spans="1:9" s="1584" customFormat="1" ht="19.5" customHeight="1">
      <c r="A28" s="3542"/>
      <c r="B28" s="3542"/>
      <c r="C28" s="1126" t="s">
        <v>1463</v>
      </c>
      <c r="D28" s="1127"/>
      <c r="E28" s="1149">
        <v>0.9</v>
      </c>
      <c r="F28" s="1128" t="s">
        <v>1464</v>
      </c>
      <c r="G28" s="1129"/>
      <c r="H28" s="1100"/>
      <c r="I28" s="1100"/>
    </row>
    <row r="29" spans="1:9" s="1584" customFormat="1" ht="19.5" customHeight="1">
      <c r="A29" s="3542"/>
      <c r="B29" s="3542"/>
      <c r="C29" s="1126" t="s">
        <v>1465</v>
      </c>
      <c r="D29" s="1127"/>
      <c r="E29" s="1149">
        <v>0.9</v>
      </c>
      <c r="F29" s="1128" t="s">
        <v>1466</v>
      </c>
      <c r="G29" s="1129"/>
      <c r="H29" s="1100"/>
      <c r="I29" s="1100"/>
    </row>
    <row r="30" spans="1:9" s="1584" customFormat="1" ht="19.5" customHeight="1">
      <c r="A30" s="3542"/>
      <c r="B30" s="3542"/>
      <c r="C30" s="1126" t="s">
        <v>1467</v>
      </c>
      <c r="D30" s="1127"/>
      <c r="E30" s="1149">
        <v>0.9</v>
      </c>
      <c r="F30" s="1128" t="s">
        <v>1468</v>
      </c>
      <c r="G30" s="1129"/>
      <c r="H30" s="1100"/>
      <c r="I30" s="1100"/>
    </row>
    <row r="31" spans="1:9" s="1584" customFormat="1" ht="19.5" customHeight="1">
      <c r="A31" s="3542"/>
      <c r="B31" s="3542"/>
      <c r="C31" s="1126" t="s">
        <v>1469</v>
      </c>
      <c r="D31" s="1127"/>
      <c r="E31" s="1149">
        <v>0.8</v>
      </c>
      <c r="F31" s="1128" t="s">
        <v>1470</v>
      </c>
      <c r="G31" s="1129"/>
      <c r="H31" s="1100"/>
      <c r="I31" s="1100"/>
    </row>
    <row r="32" spans="1:9" s="1584" customFormat="1" ht="19.5" customHeight="1">
      <c r="A32" s="3542"/>
      <c r="B32" s="3542"/>
      <c r="C32" s="1126" t="s">
        <v>1471</v>
      </c>
      <c r="D32" s="1127"/>
      <c r="E32" s="1149">
        <v>0.8</v>
      </c>
      <c r="F32" s="1128" t="s">
        <v>1472</v>
      </c>
      <c r="G32" s="1129"/>
      <c r="H32" s="1100"/>
      <c r="I32" s="1100"/>
    </row>
    <row r="33" spans="1:9" s="1584" customFormat="1" ht="19.5" customHeight="1">
      <c r="A33" s="3542" t="s">
        <v>1473</v>
      </c>
      <c r="B33" s="1149" t="s">
        <v>1445</v>
      </c>
      <c r="C33" s="1126" t="s">
        <v>1474</v>
      </c>
      <c r="D33" s="1127"/>
      <c r="E33" s="1149">
        <v>1</v>
      </c>
      <c r="F33" s="1128" t="s">
        <v>1475</v>
      </c>
      <c r="G33" s="1129"/>
      <c r="H33" s="1100"/>
      <c r="I33" s="1100"/>
    </row>
    <row r="34" spans="1:9" s="1584" customFormat="1" ht="19.5" customHeight="1">
      <c r="A34" s="3542"/>
      <c r="B34" s="1149" t="s">
        <v>1448</v>
      </c>
      <c r="C34" s="1126" t="s">
        <v>1476</v>
      </c>
      <c r="D34" s="1127"/>
      <c r="E34" s="1149">
        <v>1.5</v>
      </c>
      <c r="F34" s="1128" t="s">
        <v>1477</v>
      </c>
      <c r="G34" s="1129"/>
      <c r="H34" s="1100"/>
      <c r="I34" s="1100"/>
    </row>
    <row r="35" spans="1:9" s="1584" customFormat="1" ht="19.5" customHeight="1">
      <c r="A35" s="3542" t="s">
        <v>1431</v>
      </c>
      <c r="B35" s="1149" t="s">
        <v>1445</v>
      </c>
      <c r="C35" s="1126" t="s">
        <v>1478</v>
      </c>
      <c r="D35" s="1127"/>
      <c r="E35" s="1149">
        <v>1</v>
      </c>
      <c r="F35" s="1128" t="s">
        <v>1479</v>
      </c>
      <c r="G35" s="1129"/>
      <c r="H35" s="1100"/>
      <c r="I35" s="1100"/>
    </row>
    <row r="36" spans="1:9" s="1584" customFormat="1" ht="19.5" customHeight="1">
      <c r="A36" s="3542"/>
      <c r="B36" s="3542" t="s">
        <v>1448</v>
      </c>
      <c r="C36" s="1126" t="s">
        <v>1480</v>
      </c>
      <c r="D36" s="1127"/>
      <c r="E36" s="1149">
        <v>1</v>
      </c>
      <c r="F36" s="1128" t="s">
        <v>1481</v>
      </c>
      <c r="G36" s="1129"/>
      <c r="H36" s="1100"/>
      <c r="I36" s="1100"/>
    </row>
    <row r="37" spans="1:9" s="1584" customFormat="1" ht="19.5" customHeight="1">
      <c r="A37" s="3542"/>
      <c r="B37" s="3542"/>
      <c r="C37" s="1126" t="s">
        <v>1482</v>
      </c>
      <c r="D37" s="1127"/>
      <c r="E37" s="1149">
        <v>1.5</v>
      </c>
      <c r="F37" s="1128" t="s">
        <v>1483</v>
      </c>
      <c r="G37" s="1129"/>
      <c r="H37" s="1100"/>
      <c r="I37" s="1100"/>
    </row>
    <row r="38" spans="1:9" s="1584" customFormat="1" ht="19.5" customHeight="1">
      <c r="A38" s="3542"/>
      <c r="B38" s="3542"/>
      <c r="C38" s="1126" t="s">
        <v>1484</v>
      </c>
      <c r="D38" s="1127"/>
      <c r="E38" s="1149">
        <v>1</v>
      </c>
      <c r="F38" s="1128" t="s">
        <v>1485</v>
      </c>
      <c r="G38" s="1129"/>
      <c r="H38" s="1100"/>
      <c r="I38" s="1100"/>
    </row>
    <row r="39" spans="1:9" s="1584" customFormat="1" ht="19.5" customHeight="1">
      <c r="A39" s="3542"/>
      <c r="B39" s="3542"/>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42" t="s">
        <v>1500</v>
      </c>
      <c r="C61" s="1063" t="s">
        <v>1501</v>
      </c>
      <c r="D61" s="1063" t="s">
        <v>1502</v>
      </c>
      <c r="E61" s="1134">
        <v>0.5</v>
      </c>
      <c r="F61" s="1149">
        <v>80</v>
      </c>
      <c r="H61" s="1100">
        <f>SUMIF(C59:C119,基准地价!C8,E59:E119)</f>
        <v>0</v>
      </c>
    </row>
    <row r="62" spans="1:8" s="1100" customFormat="1" ht="24">
      <c r="A62" s="1149">
        <v>2</v>
      </c>
      <c r="B62" s="3542"/>
      <c r="C62" s="1063" t="s">
        <v>1503</v>
      </c>
      <c r="D62" s="1063" t="s">
        <v>1504</v>
      </c>
      <c r="E62" s="1134">
        <v>0.5</v>
      </c>
      <c r="F62" s="1149">
        <v>80</v>
      </c>
    </row>
    <row r="63" spans="1:8" s="1100" customFormat="1" ht="36">
      <c r="A63" s="1149">
        <v>3</v>
      </c>
      <c r="B63" s="3542"/>
      <c r="C63" s="1063" t="s">
        <v>1505</v>
      </c>
      <c r="D63" s="1063" t="s">
        <v>1506</v>
      </c>
      <c r="E63" s="1134">
        <v>0.5</v>
      </c>
      <c r="F63" s="1149">
        <v>80</v>
      </c>
    </row>
    <row r="64" spans="1:8" s="1100" customFormat="1" ht="36">
      <c r="A64" s="1149">
        <v>4</v>
      </c>
      <c r="B64" s="3542"/>
      <c r="C64" s="1063" t="s">
        <v>1507</v>
      </c>
      <c r="D64" s="1063" t="s">
        <v>1508</v>
      </c>
      <c r="E64" s="1134">
        <v>0.4</v>
      </c>
      <c r="F64" s="1149">
        <v>60</v>
      </c>
    </row>
    <row r="65" spans="1:6" s="1100" customFormat="1" ht="36">
      <c r="A65" s="1149">
        <v>5</v>
      </c>
      <c r="B65" s="3542"/>
      <c r="C65" s="1063" t="s">
        <v>1509</v>
      </c>
      <c r="D65" s="1063" t="s">
        <v>1510</v>
      </c>
      <c r="E65" s="1134">
        <v>0.2</v>
      </c>
      <c r="F65" s="1149">
        <v>30</v>
      </c>
    </row>
    <row r="66" spans="1:6" s="1100" customFormat="1" ht="36">
      <c r="A66" s="1149">
        <v>6</v>
      </c>
      <c r="B66" s="3542"/>
      <c r="C66" s="1063" t="s">
        <v>1511</v>
      </c>
      <c r="D66" s="1063" t="s">
        <v>1512</v>
      </c>
      <c r="E66" s="1134">
        <v>0.3</v>
      </c>
      <c r="F66" s="1149">
        <v>50</v>
      </c>
    </row>
    <row r="67" spans="1:6" s="1100" customFormat="1" ht="36">
      <c r="A67" s="1149">
        <v>7</v>
      </c>
      <c r="B67" s="3542"/>
      <c r="C67" s="1063" t="s">
        <v>1513</v>
      </c>
      <c r="D67" s="1063" t="s">
        <v>1514</v>
      </c>
      <c r="E67" s="1134">
        <v>0.2</v>
      </c>
      <c r="F67" s="1149">
        <v>30</v>
      </c>
    </row>
    <row r="68" spans="1:6" s="1100" customFormat="1" ht="36">
      <c r="A68" s="1149">
        <v>8</v>
      </c>
      <c r="B68" s="3542"/>
      <c r="C68" s="1063" t="s">
        <v>1515</v>
      </c>
      <c r="D68" s="1063" t="s">
        <v>1516</v>
      </c>
      <c r="E68" s="1134">
        <v>0.2</v>
      </c>
      <c r="F68" s="1149">
        <v>30</v>
      </c>
    </row>
    <row r="69" spans="1:6" s="1100" customFormat="1" ht="36">
      <c r="A69" s="1149">
        <v>9</v>
      </c>
      <c r="B69" s="3542"/>
      <c r="C69" s="1063" t="s">
        <v>1517</v>
      </c>
      <c r="D69" s="1063" t="s">
        <v>1518</v>
      </c>
      <c r="E69" s="1134">
        <v>0.2</v>
      </c>
      <c r="F69" s="1149">
        <v>30</v>
      </c>
    </row>
    <row r="70" spans="1:6" s="1100" customFormat="1" ht="48">
      <c r="A70" s="1149">
        <v>10</v>
      </c>
      <c r="B70" s="3542"/>
      <c r="C70" s="1063" t="s">
        <v>1519</v>
      </c>
      <c r="D70" s="1063" t="s">
        <v>1520</v>
      </c>
      <c r="E70" s="1134">
        <v>0.2</v>
      </c>
      <c r="F70" s="1149">
        <v>30</v>
      </c>
    </row>
    <row r="71" spans="1:6" s="1100" customFormat="1" ht="48">
      <c r="A71" s="1149">
        <v>11</v>
      </c>
      <c r="B71" s="3542"/>
      <c r="C71" s="1063" t="s">
        <v>1521</v>
      </c>
      <c r="D71" s="1063" t="s">
        <v>1522</v>
      </c>
      <c r="E71" s="1134">
        <v>0.2</v>
      </c>
      <c r="F71" s="1149">
        <v>30</v>
      </c>
    </row>
    <row r="72" spans="1:6" s="1100" customFormat="1" ht="36">
      <c r="A72" s="1149">
        <v>12</v>
      </c>
      <c r="B72" s="3542"/>
      <c r="C72" s="1063" t="s">
        <v>1523</v>
      </c>
      <c r="D72" s="1063" t="s">
        <v>1524</v>
      </c>
      <c r="E72" s="1134">
        <v>0.5</v>
      </c>
      <c r="F72" s="1149">
        <v>80</v>
      </c>
    </row>
    <row r="73" spans="1:6" s="1100" customFormat="1" ht="24">
      <c r="A73" s="1149">
        <v>13</v>
      </c>
      <c r="B73" s="3542"/>
      <c r="C73" s="1063" t="s">
        <v>1525</v>
      </c>
      <c r="D73" s="1063" t="s">
        <v>1526</v>
      </c>
      <c r="E73" s="1134">
        <v>0.4</v>
      </c>
      <c r="F73" s="1149">
        <v>60</v>
      </c>
    </row>
    <row r="74" spans="1:6" s="1100" customFormat="1" ht="24">
      <c r="A74" s="1149">
        <v>14</v>
      </c>
      <c r="B74" s="3542"/>
      <c r="C74" s="1063" t="s">
        <v>1527</v>
      </c>
      <c r="D74" s="1063" t="s">
        <v>1528</v>
      </c>
      <c r="E74" s="1134">
        <v>0.2</v>
      </c>
      <c r="F74" s="1149">
        <v>30</v>
      </c>
    </row>
    <row r="75" spans="1:6" s="1100" customFormat="1" ht="24">
      <c r="A75" s="1149">
        <v>15</v>
      </c>
      <c r="B75" s="3542"/>
      <c r="C75" s="1063" t="s">
        <v>1529</v>
      </c>
      <c r="D75" s="1063" t="s">
        <v>1530</v>
      </c>
      <c r="E75" s="1134">
        <v>0.2</v>
      </c>
      <c r="F75" s="1149">
        <v>30</v>
      </c>
    </row>
    <row r="76" spans="1:6" s="1100" customFormat="1" ht="24">
      <c r="A76" s="1149">
        <v>16</v>
      </c>
      <c r="B76" s="3542" t="s">
        <v>1531</v>
      </c>
      <c r="C76" s="1063" t="s">
        <v>1532</v>
      </c>
      <c r="D76" s="1063" t="s">
        <v>1533</v>
      </c>
      <c r="E76" s="1134">
        <v>0.5</v>
      </c>
      <c r="F76" s="1149">
        <v>80</v>
      </c>
    </row>
    <row r="77" spans="1:6" s="1100" customFormat="1" ht="24">
      <c r="A77" s="1149">
        <v>17</v>
      </c>
      <c r="B77" s="3542"/>
      <c r="C77" s="1063" t="s">
        <v>1534</v>
      </c>
      <c r="D77" s="1063" t="s">
        <v>1535</v>
      </c>
      <c r="E77" s="1134">
        <v>0.5</v>
      </c>
      <c r="F77" s="1149">
        <v>80</v>
      </c>
    </row>
    <row r="78" spans="1:6" s="1100" customFormat="1" ht="24">
      <c r="A78" s="1149">
        <v>18</v>
      </c>
      <c r="B78" s="3542"/>
      <c r="C78" s="1063" t="s">
        <v>1536</v>
      </c>
      <c r="D78" s="1063" t="s">
        <v>1537</v>
      </c>
      <c r="E78" s="1134">
        <v>0.2</v>
      </c>
      <c r="F78" s="1149">
        <v>30</v>
      </c>
    </row>
    <row r="79" spans="1:6" s="1100" customFormat="1" ht="24">
      <c r="A79" s="1149">
        <v>19</v>
      </c>
      <c r="B79" s="3542"/>
      <c r="C79" s="1063" t="s">
        <v>1538</v>
      </c>
      <c r="D79" s="1063" t="s">
        <v>1539</v>
      </c>
      <c r="E79" s="1134">
        <v>0.5</v>
      </c>
      <c r="F79" s="1149">
        <v>80</v>
      </c>
    </row>
    <row r="80" spans="1:6" s="1100" customFormat="1" ht="36">
      <c r="A80" s="1149">
        <v>20</v>
      </c>
      <c r="B80" s="3542"/>
      <c r="C80" s="1063" t="s">
        <v>1540</v>
      </c>
      <c r="D80" s="1063" t="s">
        <v>1541</v>
      </c>
      <c r="E80" s="1134">
        <v>0.2</v>
      </c>
      <c r="F80" s="1149">
        <v>30</v>
      </c>
    </row>
    <row r="81" spans="1:6" s="1100" customFormat="1" ht="36">
      <c r="A81" s="1149">
        <v>21</v>
      </c>
      <c r="B81" s="3542"/>
      <c r="C81" s="1063" t="s">
        <v>1542</v>
      </c>
      <c r="D81" s="1063" t="s">
        <v>1543</v>
      </c>
      <c r="E81" s="1134">
        <v>0.2</v>
      </c>
      <c r="F81" s="1149">
        <v>30</v>
      </c>
    </row>
    <row r="82" spans="1:6" s="1100" customFormat="1" ht="48">
      <c r="A82" s="1149">
        <v>22</v>
      </c>
      <c r="B82" s="3542"/>
      <c r="C82" s="1063" t="s">
        <v>1544</v>
      </c>
      <c r="D82" s="1063" t="s">
        <v>1545</v>
      </c>
      <c r="E82" s="1134">
        <v>0.2</v>
      </c>
      <c r="F82" s="1149">
        <v>30</v>
      </c>
    </row>
    <row r="83" spans="1:6" s="1100" customFormat="1" ht="48">
      <c r="A83" s="1149">
        <v>23</v>
      </c>
      <c r="B83" s="3542"/>
      <c r="C83" s="1063" t="s">
        <v>1546</v>
      </c>
      <c r="D83" s="1063" t="s">
        <v>1547</v>
      </c>
      <c r="E83" s="1134">
        <v>0.2</v>
      </c>
      <c r="F83" s="1149">
        <v>30</v>
      </c>
    </row>
    <row r="84" spans="1:6" s="1100" customFormat="1" ht="36">
      <c r="A84" s="1149">
        <v>24</v>
      </c>
      <c r="B84" s="3542"/>
      <c r="C84" s="1063" t="s">
        <v>1548</v>
      </c>
      <c r="D84" s="1063" t="s">
        <v>1549</v>
      </c>
      <c r="E84" s="1134">
        <v>0.2</v>
      </c>
      <c r="F84" s="1149">
        <v>30</v>
      </c>
    </row>
    <row r="85" spans="1:6" s="1100" customFormat="1" ht="36">
      <c r="A85" s="1149">
        <v>25</v>
      </c>
      <c r="B85" s="3542"/>
      <c r="C85" s="1063" t="s">
        <v>1550</v>
      </c>
      <c r="D85" s="1063" t="s">
        <v>1551</v>
      </c>
      <c r="E85" s="1134">
        <v>0.5</v>
      </c>
      <c r="F85" s="1149">
        <v>80</v>
      </c>
    </row>
    <row r="86" spans="1:6" s="1100" customFormat="1" ht="36">
      <c r="A86" s="1149">
        <v>26</v>
      </c>
      <c r="B86" s="3542"/>
      <c r="C86" s="1063" t="s">
        <v>1552</v>
      </c>
      <c r="D86" s="1063" t="s">
        <v>1553</v>
      </c>
      <c r="E86" s="1134">
        <v>0.2</v>
      </c>
      <c r="F86" s="1149">
        <v>30</v>
      </c>
    </row>
    <row r="87" spans="1:6" s="1100" customFormat="1" ht="36">
      <c r="A87" s="1149">
        <v>27</v>
      </c>
      <c r="B87" s="3542"/>
      <c r="C87" s="1063" t="s">
        <v>1554</v>
      </c>
      <c r="D87" s="1063" t="s">
        <v>1555</v>
      </c>
      <c r="E87" s="1134">
        <v>0.2</v>
      </c>
      <c r="F87" s="1149">
        <v>30</v>
      </c>
    </row>
    <row r="88" spans="1:6" s="1100" customFormat="1" ht="36">
      <c r="A88" s="1149">
        <v>28</v>
      </c>
      <c r="B88" s="3542"/>
      <c r="C88" s="1063" t="s">
        <v>1556</v>
      </c>
      <c r="D88" s="1063" t="s">
        <v>1557</v>
      </c>
      <c r="E88" s="1134">
        <v>0.2</v>
      </c>
      <c r="F88" s="1149">
        <v>30</v>
      </c>
    </row>
    <row r="89" spans="1:6" s="1100" customFormat="1" ht="24">
      <c r="A89" s="1149">
        <v>29</v>
      </c>
      <c r="B89" s="3542"/>
      <c r="C89" s="1063" t="s">
        <v>1558</v>
      </c>
      <c r="D89" s="1063" t="s">
        <v>1559</v>
      </c>
      <c r="E89" s="1134">
        <v>0.2</v>
      </c>
      <c r="F89" s="1149">
        <v>30</v>
      </c>
    </row>
    <row r="90" spans="1:6" s="1100" customFormat="1" ht="24">
      <c r="A90" s="1149">
        <v>30</v>
      </c>
      <c r="B90" s="3542"/>
      <c r="C90" s="1063" t="s">
        <v>1560</v>
      </c>
      <c r="D90" s="1063" t="s">
        <v>1561</v>
      </c>
      <c r="E90" s="1134">
        <v>0.2</v>
      </c>
      <c r="F90" s="1149">
        <v>30</v>
      </c>
    </row>
    <row r="91" spans="1:6" s="1100" customFormat="1" ht="36">
      <c r="A91" s="1149">
        <v>31</v>
      </c>
      <c r="B91" s="3542"/>
      <c r="C91" s="1063" t="s">
        <v>1562</v>
      </c>
      <c r="D91" s="1063" t="s">
        <v>1563</v>
      </c>
      <c r="E91" s="1134">
        <v>0.2</v>
      </c>
      <c r="F91" s="1149">
        <v>30</v>
      </c>
    </row>
    <row r="92" spans="1:6" s="1100" customFormat="1" ht="24">
      <c r="A92" s="1149">
        <v>32</v>
      </c>
      <c r="B92" s="3542" t="s">
        <v>1564</v>
      </c>
      <c r="C92" s="1149" t="s">
        <v>1565</v>
      </c>
      <c r="D92" s="1063" t="s">
        <v>1566</v>
      </c>
      <c r="E92" s="1134">
        <v>0.2</v>
      </c>
      <c r="F92" s="1149">
        <v>30</v>
      </c>
    </row>
    <row r="93" spans="1:6" s="1100" customFormat="1" ht="36">
      <c r="A93" s="1149">
        <v>33</v>
      </c>
      <c r="B93" s="3542"/>
      <c r="C93" s="1149" t="s">
        <v>1567</v>
      </c>
      <c r="D93" s="1063" t="s">
        <v>1568</v>
      </c>
      <c r="E93" s="1134">
        <v>0.2</v>
      </c>
      <c r="F93" s="1149">
        <v>30</v>
      </c>
    </row>
    <row r="94" spans="1:6" s="1100" customFormat="1" ht="48">
      <c r="A94" s="1149">
        <v>34</v>
      </c>
      <c r="B94" s="3542"/>
      <c r="C94" s="1149" t="s">
        <v>1569</v>
      </c>
      <c r="D94" s="1063" t="s">
        <v>1570</v>
      </c>
      <c r="E94" s="1134">
        <v>0.2</v>
      </c>
      <c r="F94" s="1149">
        <v>30</v>
      </c>
    </row>
    <row r="95" spans="1:6" s="1100" customFormat="1" ht="36">
      <c r="A95" s="1149">
        <v>35</v>
      </c>
      <c r="B95" s="3542"/>
      <c r="C95" s="1149" t="s">
        <v>1571</v>
      </c>
      <c r="D95" s="1063" t="s">
        <v>1572</v>
      </c>
      <c r="E95" s="1134">
        <v>0.2</v>
      </c>
      <c r="F95" s="1149">
        <v>30</v>
      </c>
    </row>
    <row r="96" spans="1:6" s="1100" customFormat="1" ht="48">
      <c r="A96" s="1149">
        <v>36</v>
      </c>
      <c r="B96" s="3542"/>
      <c r="C96" s="1063" t="s">
        <v>1573</v>
      </c>
      <c r="D96" s="1063" t="s">
        <v>1574</v>
      </c>
      <c r="E96" s="1134">
        <v>0.2</v>
      </c>
      <c r="F96" s="1149">
        <v>30</v>
      </c>
    </row>
    <row r="97" spans="1:6" s="1100" customFormat="1" ht="36">
      <c r="A97" s="1149">
        <v>37</v>
      </c>
      <c r="B97" s="3542"/>
      <c r="C97" s="1149" t="s">
        <v>1575</v>
      </c>
      <c r="D97" s="1063" t="s">
        <v>1576</v>
      </c>
      <c r="E97" s="1134">
        <v>0.2</v>
      </c>
      <c r="F97" s="1149">
        <v>30</v>
      </c>
    </row>
    <row r="98" spans="1:6" s="1100" customFormat="1" ht="36">
      <c r="A98" s="1149">
        <v>38</v>
      </c>
      <c r="B98" s="3542"/>
      <c r="C98" s="1149" t="s">
        <v>1577</v>
      </c>
      <c r="D98" s="1063" t="s">
        <v>1578</v>
      </c>
      <c r="E98" s="1134">
        <v>0.2</v>
      </c>
      <c r="F98" s="1149">
        <v>30</v>
      </c>
    </row>
    <row r="99" spans="1:6" s="1100" customFormat="1" ht="36">
      <c r="A99" s="1149">
        <v>39</v>
      </c>
      <c r="B99" s="3542" t="s">
        <v>1579</v>
      </c>
      <c r="C99" s="1149" t="s">
        <v>1580</v>
      </c>
      <c r="D99" s="1063" t="s">
        <v>1581</v>
      </c>
      <c r="E99" s="1134">
        <v>0.3</v>
      </c>
      <c r="F99" s="1149">
        <v>50</v>
      </c>
    </row>
    <row r="100" spans="1:6" s="1100" customFormat="1" ht="24">
      <c r="A100" s="1149">
        <v>40</v>
      </c>
      <c r="B100" s="3542"/>
      <c r="C100" s="1149" t="s">
        <v>1582</v>
      </c>
      <c r="D100" s="1063" t="s">
        <v>1583</v>
      </c>
      <c r="E100" s="1134">
        <v>0.2</v>
      </c>
      <c r="F100" s="1149">
        <v>30</v>
      </c>
    </row>
    <row r="101" spans="1:6" s="1100" customFormat="1" ht="36">
      <c r="A101" s="1149">
        <v>41</v>
      </c>
      <c r="B101" s="3542"/>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42" t="s">
        <v>1594</v>
      </c>
      <c r="C105" s="1149" t="s">
        <v>1595</v>
      </c>
      <c r="D105" s="1063" t="s">
        <v>1596</v>
      </c>
      <c r="E105" s="1134">
        <v>0.2</v>
      </c>
      <c r="F105" s="1149">
        <v>30</v>
      </c>
    </row>
    <row r="106" spans="1:6" s="1100" customFormat="1" ht="36">
      <c r="A106" s="1149">
        <v>46</v>
      </c>
      <c r="B106" s="3542"/>
      <c r="C106" s="1149" t="s">
        <v>1597</v>
      </c>
      <c r="D106" s="1063" t="s">
        <v>1598</v>
      </c>
      <c r="E106" s="1134">
        <v>0.2</v>
      </c>
      <c r="F106" s="1149">
        <v>30</v>
      </c>
    </row>
    <row r="107" spans="1:6" s="1100" customFormat="1" ht="36">
      <c r="A107" s="1149">
        <v>47</v>
      </c>
      <c r="B107" s="3542" t="s">
        <v>1599</v>
      </c>
      <c r="C107" s="1149" t="s">
        <v>1600</v>
      </c>
      <c r="D107" s="1063" t="s">
        <v>1601</v>
      </c>
      <c r="E107" s="1134">
        <v>0.3</v>
      </c>
      <c r="F107" s="1149">
        <v>50</v>
      </c>
    </row>
    <row r="108" spans="1:6" s="1100" customFormat="1" ht="36">
      <c r="A108" s="1149">
        <v>48</v>
      </c>
      <c r="B108" s="3542"/>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42" t="s">
        <v>1610</v>
      </c>
      <c r="C111" s="1149" t="s">
        <v>1611</v>
      </c>
      <c r="D111" s="1063" t="s">
        <v>1612</v>
      </c>
      <c r="E111" s="1134">
        <v>0.2</v>
      </c>
      <c r="F111" s="1149">
        <v>30</v>
      </c>
    </row>
    <row r="112" spans="1:6" s="1100" customFormat="1" ht="24">
      <c r="A112" s="1149">
        <v>52</v>
      </c>
      <c r="B112" s="3542"/>
      <c r="C112" s="1149" t="s">
        <v>1613</v>
      </c>
      <c r="D112" s="1063" t="s">
        <v>1614</v>
      </c>
      <c r="E112" s="1134">
        <v>0.2</v>
      </c>
      <c r="F112" s="1149">
        <v>30</v>
      </c>
    </row>
    <row r="113" spans="1:14" s="1100" customFormat="1" ht="24">
      <c r="A113" s="1149">
        <v>53</v>
      </c>
      <c r="B113" s="3542"/>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42" t="s">
        <v>1623</v>
      </c>
      <c r="C116" s="1149" t="s">
        <v>1624</v>
      </c>
      <c r="D116" s="1063" t="s">
        <v>1625</v>
      </c>
      <c r="E116" s="1134">
        <v>0.2</v>
      </c>
      <c r="F116" s="1149">
        <v>30</v>
      </c>
    </row>
    <row r="117" spans="1:14" ht="36">
      <c r="A117" s="1149">
        <v>57</v>
      </c>
      <c r="B117" s="3542"/>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41" t="s">
        <v>1632</v>
      </c>
      <c r="B121" s="3541"/>
      <c r="C121" s="3541"/>
      <c r="D121" s="3541"/>
      <c r="E121" s="3541"/>
      <c r="F121" s="3541"/>
      <c r="G121" s="3541"/>
      <c r="H121" s="3541"/>
      <c r="I121" s="3541"/>
      <c r="J121" s="354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46" t="s">
        <v>1038</v>
      </c>
      <c r="B1" s="3546"/>
      <c r="C1" s="3546"/>
      <c r="D1" s="3546"/>
      <c r="E1" s="3546"/>
      <c r="F1" s="3546"/>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547" t="s">
        <v>1051</v>
      </c>
      <c r="B2" s="3547"/>
      <c r="C2" s="3547"/>
      <c r="D2" s="3547"/>
      <c r="E2" s="3547"/>
      <c r="F2" s="3547"/>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48"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49"/>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550" t="s">
        <v>2075</v>
      </c>
      <c r="B1" s="3550"/>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1095</v>
      </c>
      <c r="B6" s="1844" t="s">
        <v>2084</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2085</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2086</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2087</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2088</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2089</v>
      </c>
      <c r="C72" s="1854"/>
      <c r="D72" s="1854"/>
      <c r="E72" s="1854"/>
      <c r="F72" s="1846">
        <v>0.05</v>
      </c>
    </row>
    <row r="73" spans="1:6" ht="14.25" thickBot="1">
      <c r="A73" s="1840" t="s">
        <v>924</v>
      </c>
      <c r="B73" s="1844" t="s">
        <v>2090</v>
      </c>
      <c r="C73" s="1854"/>
      <c r="D73" s="1854"/>
      <c r="E73" s="1854"/>
      <c r="F73" s="1846">
        <v>0.05</v>
      </c>
    </row>
    <row r="74" spans="1:6" ht="14.25" thickBot="1">
      <c r="A74" s="1840" t="s">
        <v>924</v>
      </c>
      <c r="B74" s="1844" t="s">
        <v>2091</v>
      </c>
      <c r="C74" s="1854"/>
      <c r="D74" s="1854"/>
      <c r="E74" s="1854"/>
      <c r="F74" s="1846">
        <v>0.05</v>
      </c>
    </row>
    <row r="75" spans="1:6" ht="14.25" thickBot="1">
      <c r="A75" s="1848" t="s">
        <v>924</v>
      </c>
      <c r="B75" s="1855" t="s">
        <v>2092</v>
      </c>
      <c r="C75" s="1851"/>
      <c r="D75" s="1851"/>
      <c r="E75" s="1851"/>
      <c r="F75" s="1856">
        <v>0.05</v>
      </c>
    </row>
    <row r="76" spans="1:6" ht="14.25" thickBot="1">
      <c r="A76" s="1840" t="s">
        <v>1406</v>
      </c>
      <c r="B76" s="1841" t="s">
        <v>2093</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2094</v>
      </c>
      <c r="C102" s="1854"/>
      <c r="D102" s="1854"/>
      <c r="E102" s="1854"/>
      <c r="F102" s="1846">
        <v>0.05</v>
      </c>
    </row>
    <row r="103" spans="1:6" ht="24.75" thickBot="1">
      <c r="A103" s="1840" t="s">
        <v>1406</v>
      </c>
      <c r="B103" s="1844" t="s">
        <v>2095</v>
      </c>
      <c r="C103" s="1854"/>
      <c r="D103" s="1854"/>
      <c r="E103" s="1854"/>
      <c r="F103" s="1846">
        <v>0.05</v>
      </c>
    </row>
    <row r="104" spans="1:6" ht="14.25" thickBot="1">
      <c r="A104" s="1840" t="s">
        <v>1406</v>
      </c>
      <c r="B104" s="1844" t="s">
        <v>2096</v>
      </c>
      <c r="C104" s="1854"/>
      <c r="D104" s="1854"/>
      <c r="E104" s="1854"/>
      <c r="F104" s="1846">
        <v>0.05</v>
      </c>
    </row>
    <row r="105" spans="1:6" ht="14.25" thickBot="1">
      <c r="A105" s="1840" t="s">
        <v>1406</v>
      </c>
      <c r="B105" s="1844" t="s">
        <v>2097</v>
      </c>
      <c r="C105" s="1854"/>
      <c r="D105" s="1854"/>
      <c r="E105" s="1854"/>
      <c r="F105" s="1846">
        <v>0.05</v>
      </c>
    </row>
    <row r="106" spans="1:6" ht="14.25" thickBot="1">
      <c r="A106" s="1840" t="s">
        <v>1406</v>
      </c>
      <c r="B106" s="1844" t="s">
        <v>2098</v>
      </c>
      <c r="C106" s="1854"/>
      <c r="D106" s="1854"/>
      <c r="E106" s="1854"/>
      <c r="F106" s="1846">
        <v>0.05</v>
      </c>
    </row>
    <row r="107" spans="1:6" ht="24.75" thickBot="1">
      <c r="A107" s="1840" t="s">
        <v>1406</v>
      </c>
      <c r="B107" s="1844" t="s">
        <v>2099</v>
      </c>
      <c r="C107" s="1854"/>
      <c r="D107" s="1854"/>
      <c r="E107" s="1854"/>
      <c r="F107" s="1846">
        <v>0.05</v>
      </c>
    </row>
    <row r="108" spans="1:6" ht="24.75" thickBot="1">
      <c r="A108" s="1840" t="s">
        <v>1406</v>
      </c>
      <c r="B108" s="1844" t="s">
        <v>2100</v>
      </c>
      <c r="C108" s="1854"/>
      <c r="D108" s="1854"/>
      <c r="E108" s="1854"/>
      <c r="F108" s="1846">
        <v>0.05</v>
      </c>
    </row>
    <row r="109" spans="1:6" ht="24.75" thickBot="1">
      <c r="A109" s="1848" t="s">
        <v>1406</v>
      </c>
      <c r="B109" s="1855" t="s">
        <v>2101</v>
      </c>
      <c r="C109" s="1851"/>
      <c r="D109" s="1851"/>
      <c r="E109" s="1851"/>
      <c r="F109" s="1856">
        <v>0.05</v>
      </c>
    </row>
    <row r="110" spans="1:6" ht="14.25" thickBot="1">
      <c r="A110" s="1840" t="s">
        <v>1408</v>
      </c>
      <c r="B110" s="1841" t="s">
        <v>2102</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2103</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2104</v>
      </c>
      <c r="C138" s="1845">
        <v>0.105</v>
      </c>
      <c r="D138" s="1845">
        <v>0.125</v>
      </c>
      <c r="E138" s="1845">
        <v>0.112</v>
      </c>
      <c r="F138" s="1853"/>
    </row>
    <row r="139" spans="1:6" ht="14.25" thickBot="1">
      <c r="A139" s="1840" t="s">
        <v>1408</v>
      </c>
      <c r="B139" s="1844" t="s">
        <v>2105</v>
      </c>
      <c r="C139" s="1845">
        <v>0.127</v>
      </c>
      <c r="D139" s="1845">
        <v>0.127</v>
      </c>
      <c r="E139" s="1845">
        <v>0.122</v>
      </c>
      <c r="F139" s="1846">
        <v>0.13</v>
      </c>
    </row>
    <row r="140" spans="1:6" ht="14.25" thickBot="1">
      <c r="A140" s="1840" t="s">
        <v>1408</v>
      </c>
      <c r="B140" s="1844" t="s">
        <v>2106</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2107</v>
      </c>
      <c r="C144" s="1858">
        <v>0.126</v>
      </c>
      <c r="D144" s="1858">
        <v>0.126</v>
      </c>
      <c r="E144" s="1858">
        <v>0.121</v>
      </c>
      <c r="F144" s="1853"/>
    </row>
    <row r="145" spans="1:6" ht="14.25" thickBot="1">
      <c r="A145" s="1848" t="s">
        <v>1408</v>
      </c>
      <c r="B145" s="1859" t="s">
        <v>2108</v>
      </c>
      <c r="C145" s="1860"/>
      <c r="D145" s="1860"/>
      <c r="E145" s="1860"/>
      <c r="F145" s="1861">
        <v>0.05</v>
      </c>
    </row>
    <row r="146" spans="1:6" ht="24.75" thickBot="1">
      <c r="A146" s="1862" t="s">
        <v>1408</v>
      </c>
      <c r="B146" s="1847" t="s">
        <v>2109</v>
      </c>
      <c r="C146" s="1854"/>
      <c r="D146" s="1854"/>
      <c r="E146" s="1854"/>
      <c r="F146" s="1863">
        <v>0.05</v>
      </c>
    </row>
    <row r="147" spans="1:6" ht="24.75" thickBot="1">
      <c r="A147" s="1840" t="s">
        <v>1408</v>
      </c>
      <c r="B147" s="1844" t="s">
        <v>2110</v>
      </c>
      <c r="C147" s="1854"/>
      <c r="D147" s="1854"/>
      <c r="E147" s="1854"/>
      <c r="F147" s="1846">
        <v>0.05</v>
      </c>
    </row>
    <row r="148" spans="1:6" ht="24.75" thickBot="1">
      <c r="A148" s="1840" t="s">
        <v>1408</v>
      </c>
      <c r="B148" s="1844" t="s">
        <v>2111</v>
      </c>
      <c r="C148" s="1854"/>
      <c r="D148" s="1854"/>
      <c r="E148" s="1854"/>
      <c r="F148" s="1846">
        <v>0.05</v>
      </c>
    </row>
    <row r="149" spans="1:6" ht="24.75" thickBot="1">
      <c r="A149" s="1840" t="s">
        <v>1408</v>
      </c>
      <c r="B149" s="1844" t="s">
        <v>2112</v>
      </c>
      <c r="C149" s="1854"/>
      <c r="D149" s="1854"/>
      <c r="E149" s="1854"/>
      <c r="F149" s="1846">
        <v>0.05</v>
      </c>
    </row>
    <row r="150" spans="1:6" ht="24.75" thickBot="1">
      <c r="A150" s="1840" t="s">
        <v>1408</v>
      </c>
      <c r="B150" s="1844" t="s">
        <v>2113</v>
      </c>
      <c r="C150" s="1854"/>
      <c r="D150" s="1854"/>
      <c r="E150" s="1854"/>
      <c r="F150" s="1846">
        <v>0.05</v>
      </c>
    </row>
    <row r="151" spans="1:6" ht="24.75" thickBot="1">
      <c r="A151" s="1840" t="s">
        <v>1408</v>
      </c>
      <c r="B151" s="1844" t="s">
        <v>2114</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2115</v>
      </c>
      <c r="C153" s="1854"/>
      <c r="D153" s="1854"/>
      <c r="E153" s="1854"/>
      <c r="F153" s="1846">
        <v>0.05</v>
      </c>
    </row>
    <row r="154" spans="1:6" ht="14.25" thickBot="1">
      <c r="A154" s="1840" t="s">
        <v>1408</v>
      </c>
      <c r="B154" s="1844" t="s">
        <v>2116</v>
      </c>
      <c r="C154" s="1854"/>
      <c r="D154" s="1854"/>
      <c r="E154" s="1854"/>
      <c r="F154" s="1846">
        <v>0.05</v>
      </c>
    </row>
    <row r="155" spans="1:6" ht="24.75" thickBot="1">
      <c r="A155" s="1840" t="s">
        <v>1408</v>
      </c>
      <c r="B155" s="1844" t="s">
        <v>2117</v>
      </c>
      <c r="C155" s="1854"/>
      <c r="D155" s="1854"/>
      <c r="E155" s="1854"/>
      <c r="F155" s="1846">
        <v>0.05</v>
      </c>
    </row>
    <row r="156" spans="1:6" ht="24.75" thickBot="1">
      <c r="A156" s="1840" t="s">
        <v>1408</v>
      </c>
      <c r="B156" s="1844" t="s">
        <v>2118</v>
      </c>
      <c r="C156" s="1854"/>
      <c r="D156" s="1854"/>
      <c r="E156" s="1854"/>
      <c r="F156" s="1846">
        <v>0.05</v>
      </c>
    </row>
    <row r="157" spans="1:6" ht="14.25" thickBot="1">
      <c r="A157" s="1848" t="s">
        <v>1408</v>
      </c>
      <c r="B157" s="1855" t="s">
        <v>2119</v>
      </c>
      <c r="C157" s="1851"/>
      <c r="D157" s="1851"/>
      <c r="E157" s="1851"/>
      <c r="F157" s="1856">
        <v>0.05</v>
      </c>
    </row>
    <row r="158" spans="1:6" ht="14.25" thickBot="1">
      <c r="A158" s="1840" t="s">
        <v>1410</v>
      </c>
      <c r="B158" s="1841" t="s">
        <v>2120</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2121</v>
      </c>
      <c r="C171" s="1845">
        <v>0.127</v>
      </c>
      <c r="D171" s="1845">
        <v>0.126</v>
      </c>
      <c r="E171" s="1845">
        <v>0.126</v>
      </c>
      <c r="F171" s="1846">
        <v>0.11799999999999999</v>
      </c>
    </row>
    <row r="172" spans="1:6" ht="14.25" thickBot="1">
      <c r="A172" s="1840" t="s">
        <v>1410</v>
      </c>
      <c r="B172" s="1844" t="s">
        <v>2122</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2123</v>
      </c>
      <c r="C174" s="1845">
        <v>0.13</v>
      </c>
      <c r="D174" s="1845">
        <v>0.13</v>
      </c>
      <c r="E174" s="1845">
        <v>0.13</v>
      </c>
      <c r="F174" s="1846">
        <v>0.13</v>
      </c>
    </row>
    <row r="175" spans="1:6" ht="14.25" thickBot="1">
      <c r="A175" s="1840" t="s">
        <v>1410</v>
      </c>
      <c r="B175" s="1844" t="s">
        <v>2124</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2125</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2126</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2127</v>
      </c>
      <c r="C185" s="1845">
        <v>0.127</v>
      </c>
      <c r="D185" s="1845">
        <v>0.127</v>
      </c>
      <c r="E185" s="1845">
        <v>0.128</v>
      </c>
      <c r="F185" s="1846">
        <v>0.13</v>
      </c>
    </row>
    <row r="186" spans="1:6" ht="24.75" thickBot="1">
      <c r="A186" s="1840" t="s">
        <v>1410</v>
      </c>
      <c r="B186" s="1844" t="s">
        <v>2128</v>
      </c>
      <c r="C186" s="1854"/>
      <c r="D186" s="1854"/>
      <c r="E186" s="1854"/>
      <c r="F186" s="1846">
        <v>0.05</v>
      </c>
    </row>
    <row r="187" spans="1:6" ht="14.25" thickBot="1">
      <c r="A187" s="1840" t="s">
        <v>1410</v>
      </c>
      <c r="B187" s="1844" t="s">
        <v>2129</v>
      </c>
      <c r="C187" s="1854"/>
      <c r="D187" s="1854"/>
      <c r="E187" s="1854"/>
      <c r="F187" s="1846">
        <v>0.05</v>
      </c>
    </row>
    <row r="188" spans="1:6" ht="14.25" thickBot="1">
      <c r="A188" s="1840" t="s">
        <v>1410</v>
      </c>
      <c r="B188" s="1844" t="s">
        <v>2130</v>
      </c>
      <c r="C188" s="1854"/>
      <c r="D188" s="1854"/>
      <c r="E188" s="1854"/>
      <c r="F188" s="1846">
        <v>0.05</v>
      </c>
    </row>
    <row r="189" spans="1:6" ht="24.75" thickBot="1">
      <c r="A189" s="1840" t="s">
        <v>1410</v>
      </c>
      <c r="B189" s="1844" t="s">
        <v>2131</v>
      </c>
      <c r="C189" s="1854"/>
      <c r="D189" s="1854"/>
      <c r="E189" s="1854"/>
      <c r="F189" s="1846">
        <v>0.05</v>
      </c>
    </row>
    <row r="190" spans="1:6" ht="24.75" thickBot="1">
      <c r="A190" s="1840" t="s">
        <v>1410</v>
      </c>
      <c r="B190" s="1844" t="s">
        <v>2132</v>
      </c>
      <c r="C190" s="1854"/>
      <c r="D190" s="1854"/>
      <c r="E190" s="1854"/>
      <c r="F190" s="1846">
        <v>0.05</v>
      </c>
    </row>
    <row r="191" spans="1:6" ht="24.75" thickBot="1">
      <c r="A191" s="1840" t="s">
        <v>1410</v>
      </c>
      <c r="B191" s="1844" t="s">
        <v>2133</v>
      </c>
      <c r="C191" s="1854"/>
      <c r="D191" s="1854"/>
      <c r="E191" s="1854"/>
      <c r="F191" s="1846">
        <v>0.05</v>
      </c>
    </row>
    <row r="192" spans="1:6" ht="24.75" thickBot="1">
      <c r="A192" s="1840" t="s">
        <v>1410</v>
      </c>
      <c r="B192" s="1844" t="s">
        <v>2134</v>
      </c>
      <c r="C192" s="1854"/>
      <c r="D192" s="1854"/>
      <c r="E192" s="1854"/>
      <c r="F192" s="1846">
        <v>0.05</v>
      </c>
    </row>
    <row r="193" spans="1:6" ht="24.75" thickBot="1">
      <c r="A193" s="1840" t="s">
        <v>1410</v>
      </c>
      <c r="B193" s="1844" t="s">
        <v>2135</v>
      </c>
      <c r="C193" s="1854"/>
      <c r="D193" s="1854"/>
      <c r="E193" s="1854"/>
      <c r="F193" s="1846">
        <v>0.05</v>
      </c>
    </row>
    <row r="194" spans="1:6" ht="24.75" thickBot="1">
      <c r="A194" s="1840" t="s">
        <v>1410</v>
      </c>
      <c r="B194" s="1844" t="s">
        <v>2136</v>
      </c>
      <c r="C194" s="1854"/>
      <c r="D194" s="1854"/>
      <c r="E194" s="1854"/>
      <c r="F194" s="1846">
        <v>0.05</v>
      </c>
    </row>
    <row r="195" spans="1:6" ht="14.25" thickBot="1">
      <c r="A195" s="1840" t="s">
        <v>1410</v>
      </c>
      <c r="B195" s="1844" t="s">
        <v>2137</v>
      </c>
      <c r="C195" s="1854"/>
      <c r="D195" s="1854"/>
      <c r="E195" s="1854"/>
      <c r="F195" s="1846">
        <v>0.05</v>
      </c>
    </row>
    <row r="196" spans="1:6" ht="24.75" thickBot="1">
      <c r="A196" s="1840" t="s">
        <v>1410</v>
      </c>
      <c r="B196" s="1844" t="s">
        <v>2138</v>
      </c>
      <c r="C196" s="1854"/>
      <c r="D196" s="1854"/>
      <c r="E196" s="1854"/>
      <c r="F196" s="1846">
        <v>0.05</v>
      </c>
    </row>
    <row r="197" spans="1:6" ht="24.75" thickBot="1">
      <c r="A197" s="1840" t="s">
        <v>1410</v>
      </c>
      <c r="B197" s="1844" t="s">
        <v>2139</v>
      </c>
      <c r="C197" s="1854"/>
      <c r="D197" s="1854"/>
      <c r="E197" s="1854"/>
      <c r="F197" s="1846">
        <v>0.05</v>
      </c>
    </row>
    <row r="198" spans="1:6" ht="24.75" thickBot="1">
      <c r="A198" s="1840" t="s">
        <v>1410</v>
      </c>
      <c r="B198" s="1844" t="s">
        <v>2140</v>
      </c>
      <c r="C198" s="1854"/>
      <c r="D198" s="1854"/>
      <c r="E198" s="1854"/>
      <c r="F198" s="1846">
        <v>0.05</v>
      </c>
    </row>
    <row r="199" spans="1:6" ht="24.75" thickBot="1">
      <c r="A199" s="1840" t="s">
        <v>1410</v>
      </c>
      <c r="B199" s="1844" t="s">
        <v>2141</v>
      </c>
      <c r="C199" s="1854"/>
      <c r="D199" s="1854"/>
      <c r="E199" s="1854"/>
      <c r="F199" s="1846">
        <v>0.05</v>
      </c>
    </row>
    <row r="200" spans="1:6" ht="24.75" thickBot="1">
      <c r="A200" s="1840" t="s">
        <v>1410</v>
      </c>
      <c r="B200" s="1844" t="s">
        <v>2142</v>
      </c>
      <c r="C200" s="1854"/>
      <c r="D200" s="1854"/>
      <c r="E200" s="1854"/>
      <c r="F200" s="1846">
        <v>0.05</v>
      </c>
    </row>
    <row r="201" spans="1:6" ht="24.75" thickBot="1">
      <c r="A201" s="1840" t="s">
        <v>1410</v>
      </c>
      <c r="B201" s="1844" t="s">
        <v>2143</v>
      </c>
      <c r="C201" s="1854"/>
      <c r="D201" s="1854"/>
      <c r="E201" s="1854"/>
      <c r="F201" s="1846">
        <v>0.05</v>
      </c>
    </row>
    <row r="202" spans="1:6" ht="24.75" thickBot="1">
      <c r="A202" s="1840" t="s">
        <v>1410</v>
      </c>
      <c r="B202" s="1844" t="s">
        <v>2144</v>
      </c>
      <c r="C202" s="1854"/>
      <c r="D202" s="1854"/>
      <c r="E202" s="1854"/>
      <c r="F202" s="1846">
        <v>0.05</v>
      </c>
    </row>
    <row r="203" spans="1:6" ht="24.75" thickBot="1">
      <c r="A203" s="1840" t="s">
        <v>1410</v>
      </c>
      <c r="B203" s="1844" t="s">
        <v>2145</v>
      </c>
      <c r="C203" s="1854"/>
      <c r="D203" s="1854"/>
      <c r="E203" s="1854"/>
      <c r="F203" s="1846">
        <v>0.05</v>
      </c>
    </row>
    <row r="204" spans="1:6" ht="14.25" thickBot="1">
      <c r="A204" s="1840" t="s">
        <v>1410</v>
      </c>
      <c r="B204" s="1844" t="s">
        <v>2146</v>
      </c>
      <c r="C204" s="1854"/>
      <c r="D204" s="1854"/>
      <c r="E204" s="1854"/>
      <c r="F204" s="1846">
        <v>0.05</v>
      </c>
    </row>
    <row r="205" spans="1:6" ht="14.25" thickBot="1">
      <c r="A205" s="1848" t="s">
        <v>1410</v>
      </c>
      <c r="B205" s="1855" t="s">
        <v>2147</v>
      </c>
      <c r="C205" s="1851"/>
      <c r="D205" s="1851"/>
      <c r="E205" s="1851"/>
      <c r="F205" s="1856">
        <v>0.05</v>
      </c>
    </row>
    <row r="206" spans="1:6" ht="14.25" thickBot="1">
      <c r="A206" s="1840" t="s">
        <v>1412</v>
      </c>
      <c r="B206" s="1841" t="s">
        <v>2148</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2149</v>
      </c>
      <c r="C210" s="1845">
        <v>0.15</v>
      </c>
      <c r="D210" s="1845">
        <v>0.15</v>
      </c>
      <c r="E210" s="1845">
        <v>0.15</v>
      </c>
      <c r="F210" s="1846">
        <v>0.13800000000000001</v>
      </c>
    </row>
    <row r="211" spans="1:6" ht="14.25" thickBot="1">
      <c r="A211" s="1840" t="s">
        <v>1412</v>
      </c>
      <c r="B211" s="1844" t="s">
        <v>2150</v>
      </c>
      <c r="C211" s="1845">
        <v>0.13700000000000001</v>
      </c>
      <c r="D211" s="1845">
        <v>0.13500000000000001</v>
      </c>
      <c r="E211" s="1845">
        <v>0.13600000000000001</v>
      </c>
      <c r="F211" s="1846">
        <v>0.1</v>
      </c>
    </row>
    <row r="212" spans="1:6" ht="14.25" thickBot="1">
      <c r="A212" s="1840" t="s">
        <v>1412</v>
      </c>
      <c r="B212" s="1844" t="s">
        <v>2151</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2152</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2153</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2154</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2155</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2156</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2157</v>
      </c>
      <c r="C231" s="1845">
        <v>0.128</v>
      </c>
      <c r="D231" s="1845">
        <v>0.125</v>
      </c>
      <c r="E231" s="1845">
        <v>0.13200000000000001</v>
      </c>
      <c r="F231" s="1853"/>
    </row>
    <row r="232" spans="1:6" ht="14.25" thickBot="1">
      <c r="A232" s="1840" t="s">
        <v>1412</v>
      </c>
      <c r="B232" s="1844" t="s">
        <v>2158</v>
      </c>
      <c r="C232" s="1845">
        <v>0.14499999999999999</v>
      </c>
      <c r="D232" s="1845">
        <v>0.14399999999999999</v>
      </c>
      <c r="E232" s="1845">
        <v>0.14599999999999999</v>
      </c>
      <c r="F232" s="1846">
        <v>0.13800000000000001</v>
      </c>
    </row>
    <row r="233" spans="1:6" ht="14.25" thickBot="1">
      <c r="A233" s="1840" t="s">
        <v>1412</v>
      </c>
      <c r="B233" s="1844" t="s">
        <v>2159</v>
      </c>
      <c r="C233" s="1845">
        <v>0.14499999999999999</v>
      </c>
      <c r="D233" s="1845">
        <v>0.14299999999999999</v>
      </c>
      <c r="E233" s="1845">
        <v>0.14199999999999999</v>
      </c>
      <c r="F233" s="1853"/>
    </row>
    <row r="234" spans="1:6" ht="14.25" thickBot="1">
      <c r="A234" s="1840" t="s">
        <v>1412</v>
      </c>
      <c r="B234" s="1844" t="s">
        <v>2160</v>
      </c>
      <c r="C234" s="1845">
        <v>0.14000000000000001</v>
      </c>
      <c r="D234" s="1845">
        <v>0.14000000000000001</v>
      </c>
      <c r="E234" s="1845">
        <v>0.14399999999999999</v>
      </c>
      <c r="F234" s="1853"/>
    </row>
    <row r="235" spans="1:6" ht="14.25" thickBot="1">
      <c r="A235" s="1840" t="s">
        <v>1412</v>
      </c>
      <c r="B235" s="1844" t="s">
        <v>2161</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2162</v>
      </c>
      <c r="C237" s="1854"/>
      <c r="D237" s="1854"/>
      <c r="E237" s="1854"/>
      <c r="F237" s="1846">
        <v>0.05</v>
      </c>
    </row>
    <row r="238" spans="1:6" ht="24.75" thickBot="1">
      <c r="A238" s="1840" t="s">
        <v>1412</v>
      </c>
      <c r="B238" s="1844" t="s">
        <v>2163</v>
      </c>
      <c r="C238" s="1854"/>
      <c r="D238" s="1854"/>
      <c r="E238" s="1854"/>
      <c r="F238" s="1846">
        <v>0.05</v>
      </c>
    </row>
    <row r="239" spans="1:6" ht="24.75" thickBot="1">
      <c r="A239" s="1840" t="s">
        <v>1412</v>
      </c>
      <c r="B239" s="1844" t="s">
        <v>2164</v>
      </c>
      <c r="C239" s="1854"/>
      <c r="D239" s="1854"/>
      <c r="E239" s="1854"/>
      <c r="F239" s="1846">
        <v>0.05</v>
      </c>
    </row>
    <row r="240" spans="1:6" ht="24.75" thickBot="1">
      <c r="A240" s="1840" t="s">
        <v>1412</v>
      </c>
      <c r="B240" s="1844" t="s">
        <v>2165</v>
      </c>
      <c r="C240" s="1854"/>
      <c r="D240" s="1854"/>
      <c r="E240" s="1854"/>
      <c r="F240" s="1846">
        <v>0.05</v>
      </c>
    </row>
    <row r="241" spans="1:6" ht="24.75" thickBot="1">
      <c r="A241" s="1840" t="s">
        <v>1412</v>
      </c>
      <c r="B241" s="1844" t="s">
        <v>2166</v>
      </c>
      <c r="C241" s="1854"/>
      <c r="D241" s="1854"/>
      <c r="E241" s="1854"/>
      <c r="F241" s="1846">
        <v>0.05</v>
      </c>
    </row>
    <row r="242" spans="1:6" ht="24.75" thickBot="1">
      <c r="A242" s="1840" t="s">
        <v>1412</v>
      </c>
      <c r="B242" s="1844" t="s">
        <v>2167</v>
      </c>
      <c r="C242" s="1854"/>
      <c r="D242" s="1854"/>
      <c r="E242" s="1854"/>
      <c r="F242" s="1846">
        <v>0.05</v>
      </c>
    </row>
    <row r="243" spans="1:6" ht="24.75" thickBot="1">
      <c r="A243" s="1840" t="s">
        <v>1412</v>
      </c>
      <c r="B243" s="1844" t="s">
        <v>2168</v>
      </c>
      <c r="C243" s="1854"/>
      <c r="D243" s="1854"/>
      <c r="E243" s="1854"/>
      <c r="F243" s="1846">
        <v>0.05</v>
      </c>
    </row>
    <row r="244" spans="1:6" ht="24.75" thickBot="1">
      <c r="A244" s="1848" t="s">
        <v>1412</v>
      </c>
      <c r="B244" s="1855" t="s">
        <v>2169</v>
      </c>
      <c r="C244" s="1851"/>
      <c r="D244" s="1851"/>
      <c r="E244" s="1851"/>
      <c r="F244" s="1856">
        <v>0.05</v>
      </c>
    </row>
    <row r="245" spans="1:6" ht="14.25" thickBot="1">
      <c r="A245" s="1840" t="s">
        <v>1414</v>
      </c>
      <c r="B245" s="1841" t="s">
        <v>2170</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2171</v>
      </c>
      <c r="C247" s="1845">
        <v>0.15</v>
      </c>
      <c r="D247" s="1845">
        <v>0.15</v>
      </c>
      <c r="E247" s="1845">
        <v>0.15</v>
      </c>
      <c r="F247" s="1846">
        <v>0.15</v>
      </c>
    </row>
    <row r="248" spans="1:6" ht="14.25" thickBot="1">
      <c r="A248" s="1840" t="s">
        <v>1414</v>
      </c>
      <c r="B248" s="1844" t="s">
        <v>2172</v>
      </c>
      <c r="C248" s="1845">
        <v>0.15</v>
      </c>
      <c r="D248" s="1845">
        <v>0.15</v>
      </c>
      <c r="E248" s="1845">
        <v>0.15</v>
      </c>
      <c r="F248" s="1846">
        <v>0.14000000000000001</v>
      </c>
    </row>
    <row r="249" spans="1:6" ht="14.25" thickBot="1">
      <c r="A249" s="1840" t="s">
        <v>1414</v>
      </c>
      <c r="B249" s="1844" t="s">
        <v>2173</v>
      </c>
      <c r="C249" s="1845">
        <v>0.15</v>
      </c>
      <c r="D249" s="1845">
        <v>0.14899999999999999</v>
      </c>
      <c r="E249" s="1845">
        <v>0.15</v>
      </c>
      <c r="F249" s="1846">
        <v>0.1</v>
      </c>
    </row>
    <row r="250" spans="1:6" ht="14.25" thickBot="1">
      <c r="A250" s="1840" t="s">
        <v>1414</v>
      </c>
      <c r="B250" s="1844" t="s">
        <v>2174</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2175</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2176</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2177</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2178</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2179</v>
      </c>
      <c r="C273" s="1845">
        <v>0.14199999999999999</v>
      </c>
      <c r="D273" s="1845">
        <v>0.14299999999999999</v>
      </c>
      <c r="E273" s="1845">
        <v>0.15</v>
      </c>
      <c r="F273" s="1846">
        <v>0.1</v>
      </c>
    </row>
    <row r="274" spans="1:6" ht="14.25" thickBot="1">
      <c r="A274" s="1840" t="s">
        <v>1414</v>
      </c>
      <c r="B274" s="1844" t="s">
        <v>2180</v>
      </c>
      <c r="C274" s="1845">
        <v>0.14799999999999999</v>
      </c>
      <c r="D274" s="1845">
        <v>0.14799999999999999</v>
      </c>
      <c r="E274" s="1845">
        <v>0.15</v>
      </c>
      <c r="F274" s="1846">
        <v>6.7000000000000004E-2</v>
      </c>
    </row>
    <row r="275" spans="1:6" ht="14.25" thickBot="1">
      <c r="A275" s="1840" t="s">
        <v>1414</v>
      </c>
      <c r="B275" s="1844" t="s">
        <v>2181</v>
      </c>
      <c r="C275" s="1845">
        <v>0.15</v>
      </c>
      <c r="D275" s="1845">
        <v>0.15</v>
      </c>
      <c r="E275" s="1845">
        <v>0.15</v>
      </c>
      <c r="F275" s="1846">
        <v>0.15</v>
      </c>
    </row>
    <row r="276" spans="1:6" ht="14.25" thickBot="1">
      <c r="A276" s="1840" t="s">
        <v>1414</v>
      </c>
      <c r="B276" s="1844" t="s">
        <v>2182</v>
      </c>
      <c r="C276" s="1845">
        <v>0.14499999999999999</v>
      </c>
      <c r="D276" s="1845">
        <v>0.14299999999999999</v>
      </c>
      <c r="E276" s="1845">
        <v>0.15</v>
      </c>
      <c r="F276" s="1846">
        <v>5.8999999999999997E-2</v>
      </c>
    </row>
    <row r="277" spans="1:6" ht="14.25" thickBot="1">
      <c r="A277" s="1840" t="s">
        <v>1414</v>
      </c>
      <c r="B277" s="1844" t="s">
        <v>2183</v>
      </c>
      <c r="C277" s="1845">
        <v>0.15</v>
      </c>
      <c r="D277" s="1845">
        <v>0.15</v>
      </c>
      <c r="E277" s="1845">
        <v>0.15</v>
      </c>
      <c r="F277" s="1846">
        <v>0.121</v>
      </c>
    </row>
    <row r="278" spans="1:6" ht="14.25" thickBot="1">
      <c r="A278" s="1840" t="s">
        <v>1414</v>
      </c>
      <c r="B278" s="1844" t="s">
        <v>2184</v>
      </c>
      <c r="C278" s="1845">
        <v>0.15</v>
      </c>
      <c r="D278" s="1845">
        <v>0.15</v>
      </c>
      <c r="E278" s="1845">
        <v>0.15</v>
      </c>
      <c r="F278" s="1846">
        <v>0.13800000000000001</v>
      </c>
    </row>
    <row r="279" spans="1:6" ht="24.75" thickBot="1">
      <c r="A279" s="1840" t="s">
        <v>1414</v>
      </c>
      <c r="B279" s="1844" t="s">
        <v>2185</v>
      </c>
      <c r="C279" s="1854"/>
      <c r="D279" s="1854"/>
      <c r="E279" s="1854"/>
      <c r="F279" s="1846">
        <v>0.05</v>
      </c>
    </row>
    <row r="280" spans="1:6" ht="24.75" thickBot="1">
      <c r="A280" s="1840" t="s">
        <v>1414</v>
      </c>
      <c r="B280" s="1844" t="s">
        <v>2186</v>
      </c>
      <c r="C280" s="1854"/>
      <c r="D280" s="1854"/>
      <c r="E280" s="1854"/>
      <c r="F280" s="1846">
        <v>0.05</v>
      </c>
    </row>
    <row r="281" spans="1:6" ht="24.75" thickBot="1">
      <c r="A281" s="1840" t="s">
        <v>1414</v>
      </c>
      <c r="B281" s="1844" t="s">
        <v>2187</v>
      </c>
      <c r="C281" s="1854"/>
      <c r="D281" s="1854"/>
      <c r="E281" s="1854"/>
      <c r="F281" s="1846">
        <v>0.05</v>
      </c>
    </row>
    <row r="282" spans="1:6" ht="24.75" thickBot="1">
      <c r="A282" s="1840" t="s">
        <v>1414</v>
      </c>
      <c r="B282" s="1844" t="s">
        <v>2188</v>
      </c>
      <c r="C282" s="1854"/>
      <c r="D282" s="1854"/>
      <c r="E282" s="1854"/>
      <c r="F282" s="1846">
        <v>0.05</v>
      </c>
    </row>
    <row r="283" spans="1:6" ht="24.75" thickBot="1">
      <c r="A283" s="1840" t="s">
        <v>1414</v>
      </c>
      <c r="B283" s="1844" t="s">
        <v>2189</v>
      </c>
      <c r="C283" s="1854"/>
      <c r="D283" s="1854"/>
      <c r="E283" s="1854"/>
      <c r="F283" s="1846">
        <v>0.05</v>
      </c>
    </row>
    <row r="284" spans="1:6" ht="24.75" thickBot="1">
      <c r="A284" s="1840" t="s">
        <v>1414</v>
      </c>
      <c r="B284" s="1844" t="s">
        <v>2190</v>
      </c>
      <c r="C284" s="1854"/>
      <c r="D284" s="1854"/>
      <c r="E284" s="1854"/>
      <c r="F284" s="1846">
        <v>0.05</v>
      </c>
    </row>
    <row r="285" spans="1:6" ht="24.75" thickBot="1">
      <c r="A285" s="1840" t="s">
        <v>1414</v>
      </c>
      <c r="B285" s="1844" t="s">
        <v>2191</v>
      </c>
      <c r="C285" s="1854"/>
      <c r="D285" s="1854"/>
      <c r="E285" s="1854"/>
      <c r="F285" s="1846">
        <v>0.05</v>
      </c>
    </row>
    <row r="286" spans="1:6" ht="24.75" thickBot="1">
      <c r="A286" s="1840" t="s">
        <v>1414</v>
      </c>
      <c r="B286" s="1844" t="s">
        <v>2192</v>
      </c>
      <c r="C286" s="1854"/>
      <c r="D286" s="1854"/>
      <c r="E286" s="1854"/>
      <c r="F286" s="1846">
        <v>0.05</v>
      </c>
    </row>
    <row r="287" spans="1:6" ht="24.75" thickBot="1">
      <c r="A287" s="1840" t="s">
        <v>1414</v>
      </c>
      <c r="B287" s="1844" t="s">
        <v>2193</v>
      </c>
      <c r="C287" s="1854"/>
      <c r="D287" s="1854"/>
      <c r="E287" s="1854"/>
      <c r="F287" s="1846">
        <v>0.05</v>
      </c>
    </row>
    <row r="288" spans="1:6" ht="24.75" thickBot="1">
      <c r="A288" s="1840" t="s">
        <v>1414</v>
      </c>
      <c r="B288" s="1844" t="s">
        <v>2194</v>
      </c>
      <c r="C288" s="1854"/>
      <c r="D288" s="1854"/>
      <c r="E288" s="1854"/>
      <c r="F288" s="1846">
        <v>0.05</v>
      </c>
    </row>
    <row r="289" spans="1:6" ht="24.75" thickBot="1">
      <c r="A289" s="1848" t="s">
        <v>1414</v>
      </c>
      <c r="B289" s="1855" t="s">
        <v>2195</v>
      </c>
      <c r="C289" s="1851"/>
      <c r="D289" s="1851"/>
      <c r="E289" s="1851"/>
      <c r="F289" s="1856">
        <v>0.05</v>
      </c>
    </row>
    <row r="290" spans="1:6" ht="14.25" thickBot="1">
      <c r="A290" s="1840" t="s">
        <v>1418</v>
      </c>
      <c r="B290" s="1841" t="s">
        <v>2196</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2197</v>
      </c>
      <c r="C292" s="1845">
        <v>0.15</v>
      </c>
      <c r="D292" s="1845">
        <v>0.15</v>
      </c>
      <c r="E292" s="1845">
        <v>0.15</v>
      </c>
      <c r="F292" s="1846">
        <v>0.14699999999999999</v>
      </c>
    </row>
    <row r="293" spans="1:6" ht="14.25" thickBot="1">
      <c r="A293" s="1840" t="s">
        <v>1418</v>
      </c>
      <c r="B293" s="1844" t="s">
        <v>2198</v>
      </c>
      <c r="C293" s="1854"/>
      <c r="D293" s="1854"/>
      <c r="E293" s="1854"/>
      <c r="F293" s="1846">
        <v>0.1</v>
      </c>
    </row>
    <row r="294" spans="1:6" ht="14.25" thickBot="1">
      <c r="A294" s="1840" t="s">
        <v>1418</v>
      </c>
      <c r="B294" s="1844" t="s">
        <v>2199</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2200</v>
      </c>
      <c r="C296" s="1845">
        <v>0.15</v>
      </c>
      <c r="D296" s="1845">
        <v>0.15</v>
      </c>
      <c r="E296" s="1845">
        <v>0.15</v>
      </c>
      <c r="F296" s="1846">
        <v>0.15</v>
      </c>
    </row>
    <row r="297" spans="1:6" ht="14.25" thickBot="1">
      <c r="A297" s="1840" t="s">
        <v>1418</v>
      </c>
      <c r="B297" s="1844" t="s">
        <v>2201</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2202</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2203</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2204</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2205</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2206</v>
      </c>
      <c r="C310" s="1845">
        <v>0.15</v>
      </c>
      <c r="D310" s="1845">
        <v>0.15</v>
      </c>
      <c r="E310" s="1845">
        <v>0.15</v>
      </c>
      <c r="F310" s="1846">
        <v>0.13700000000000001</v>
      </c>
    </row>
    <row r="311" spans="1:6" ht="14.25" thickBot="1">
      <c r="A311" s="1840" t="s">
        <v>1418</v>
      </c>
      <c r="B311" s="1844" t="s">
        <v>2207</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2208</v>
      </c>
      <c r="C313" s="1845">
        <v>0.15</v>
      </c>
      <c r="D313" s="1845">
        <v>0.15</v>
      </c>
      <c r="E313" s="1845">
        <v>0.15</v>
      </c>
      <c r="F313" s="1846">
        <v>0.15</v>
      </c>
    </row>
    <row r="314" spans="1:6" ht="24.75" thickBot="1">
      <c r="A314" s="1840" t="s">
        <v>1418</v>
      </c>
      <c r="B314" s="1844" t="s">
        <v>2209</v>
      </c>
      <c r="C314" s="1854"/>
      <c r="D314" s="1854"/>
      <c r="E314" s="1854"/>
      <c r="F314" s="1846">
        <v>0.05</v>
      </c>
    </row>
    <row r="315" spans="1:6" ht="24.75" thickBot="1">
      <c r="A315" s="1840" t="s">
        <v>1418</v>
      </c>
      <c r="B315" s="1844" t="s">
        <v>2210</v>
      </c>
      <c r="C315" s="1854"/>
      <c r="D315" s="1854"/>
      <c r="E315" s="1854"/>
      <c r="F315" s="1846">
        <v>0.05</v>
      </c>
    </row>
    <row r="316" spans="1:6" ht="24.75" thickBot="1">
      <c r="A316" s="1848" t="s">
        <v>1418</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1106</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1175</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1195</v>
      </c>
      <c r="C328" s="1845">
        <v>0.15</v>
      </c>
      <c r="D328" s="1845">
        <v>0.15</v>
      </c>
      <c r="E328" s="1845">
        <v>0.15</v>
      </c>
      <c r="F328" s="1846">
        <v>0.14099999999999999</v>
      </c>
    </row>
    <row r="329" spans="1:6" ht="14.25" thickBot="1">
      <c r="A329" s="1840" t="s">
        <v>2212</v>
      </c>
      <c r="B329" s="1844" t="s">
        <v>1205</v>
      </c>
      <c r="C329" s="1845">
        <v>0.15</v>
      </c>
      <c r="D329" s="1845">
        <v>0.15</v>
      </c>
      <c r="E329" s="1845">
        <v>0.15</v>
      </c>
      <c r="F329" s="1846">
        <v>0.15</v>
      </c>
    </row>
    <row r="330" spans="1:6" ht="14.25" thickBot="1">
      <c r="A330" s="1840" t="s">
        <v>2212</v>
      </c>
      <c r="B330" s="1844" t="s">
        <v>1215</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1235</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1255</v>
      </c>
      <c r="C334" s="1845">
        <v>0.15</v>
      </c>
      <c r="D334" s="1845">
        <v>0.15</v>
      </c>
      <c r="E334" s="1845">
        <v>0.15</v>
      </c>
      <c r="F334" s="1846">
        <v>0.15</v>
      </c>
    </row>
    <row r="335" spans="1:6" ht="14.25" thickBot="1">
      <c r="A335" s="1840" t="s">
        <v>2212</v>
      </c>
      <c r="B335" s="1844" t="s">
        <v>1265</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1283</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58" t="s">
        <v>2569</v>
      </c>
      <c r="C1" s="3558"/>
      <c r="D1" s="3558"/>
      <c r="E1" s="3558"/>
      <c r="F1" s="3558"/>
      <c r="G1" s="3557" t="s">
        <v>2570</v>
      </c>
      <c r="H1" s="3557"/>
      <c r="I1" s="3557"/>
      <c r="J1" s="3557"/>
      <c r="K1" s="3557"/>
      <c r="L1" s="3557"/>
      <c r="N1" s="3557" t="s">
        <v>2571</v>
      </c>
      <c r="O1" s="3557"/>
      <c r="P1" s="3557"/>
      <c r="Q1" s="3557"/>
      <c r="R1" s="2618"/>
      <c r="S1" s="3557" t="s">
        <v>2572</v>
      </c>
      <c r="T1" s="3557"/>
      <c r="U1" s="3557"/>
      <c r="V1" s="3557"/>
      <c r="X1" s="3556" t="s">
        <v>2632</v>
      </c>
      <c r="Y1" s="3557"/>
      <c r="Z1" s="3557"/>
      <c r="AA1" s="3557"/>
      <c r="AB1" s="3557"/>
      <c r="AD1" s="3556" t="s">
        <v>2636</v>
      </c>
      <c r="AE1" s="3557"/>
      <c r="AF1" s="3557"/>
      <c r="AG1" s="3557"/>
      <c r="AH1" s="3557"/>
    </row>
    <row r="2" spans="1:34" s="2719" customFormat="1" ht="14.25" thickBot="1">
      <c r="B2" s="2727" t="s">
        <v>2573</v>
      </c>
      <c r="C2" s="2727" t="s">
        <v>2634</v>
      </c>
      <c r="D2" s="2720" t="s">
        <v>1643</v>
      </c>
      <c r="E2" s="2720" t="s">
        <v>1948</v>
      </c>
      <c r="F2" s="2727" t="s">
        <v>2635</v>
      </c>
      <c r="G2" s="2723"/>
      <c r="H2" s="2722"/>
      <c r="I2" s="2727" t="s">
        <v>2943</v>
      </c>
      <c r="J2" s="2720" t="s">
        <v>2945</v>
      </c>
      <c r="K2" s="2720" t="s">
        <v>2946</v>
      </c>
      <c r="L2" s="2727" t="s">
        <v>2947</v>
      </c>
      <c r="N2" s="2727" t="s">
        <v>2573</v>
      </c>
      <c r="O2" s="2720" t="s">
        <v>2944</v>
      </c>
      <c r="P2" s="2720" t="s">
        <v>1948</v>
      </c>
      <c r="Q2" s="2727" t="s">
        <v>2635</v>
      </c>
      <c r="R2" s="2721"/>
      <c r="S2" s="2727" t="s">
        <v>2573</v>
      </c>
      <c r="T2" s="2720" t="s">
        <v>2944</v>
      </c>
      <c r="U2" s="2720" t="s">
        <v>1948</v>
      </c>
      <c r="V2" s="2727" t="s">
        <v>2635</v>
      </c>
      <c r="X2" s="2727" t="s">
        <v>2573</v>
      </c>
      <c r="Y2" s="2727" t="s">
        <v>2634</v>
      </c>
      <c r="Z2" s="2720" t="s">
        <v>1643</v>
      </c>
      <c r="AA2" s="2720" t="s">
        <v>1948</v>
      </c>
      <c r="AB2" s="2727" t="s">
        <v>2635</v>
      </c>
      <c r="AD2" s="2727" t="s">
        <v>2573</v>
      </c>
      <c r="AE2" s="2727" t="s">
        <v>2634</v>
      </c>
      <c r="AF2" s="2720" t="s">
        <v>1643</v>
      </c>
      <c r="AG2" s="2720" t="s">
        <v>1948</v>
      </c>
      <c r="AH2" s="2727" t="s">
        <v>2635</v>
      </c>
    </row>
    <row r="3" spans="1:34" s="3080" customFormat="1" ht="14.25">
      <c r="A3" s="3092" t="s">
        <v>2956</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2979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2957</v>
      </c>
      <c r="X5" s="3067">
        <f>ROUND(IF(项目基本情况!B8="出让",SUMPRODUCT(PRODUCT(1+N5:N$26)),SUMPRODUCT(PRODUCT(1+N5:N$25))),4)</f>
        <v>1.5189999999999999</v>
      </c>
      <c r="Y5" s="3067">
        <f>ROUND(IF(项目基本情况!B8="出让",SUMPRODUCT(PRODUCT(1+O5:O$26)),SUMPRODUCT(PRODUCT(1+O5:O$25))),4)</f>
        <v>1.3423</v>
      </c>
      <c r="Z5" s="3067">
        <f t="shared" ref="Z5" si="11">Y5</f>
        <v>1.3423</v>
      </c>
      <c r="AA5" s="3067">
        <f>ROUND(IF(项目基本情况!B8="出让",SUMPRODUCT(PRODUCT(1+P5:P$26)),SUMPRODUCT(PRODUCT(1+P5:P$25))),4)</f>
        <v>1.5782</v>
      </c>
      <c r="AB5" s="3067">
        <f>ROUND(IF(项目基本情况!B8="出让",SUMPRODUCT(PRODUCT(1+Q5:Q$26)),SUMPRODUCT(PRODUCT(1+Q5:Q$25))),4)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2976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552">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2966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552"/>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2967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552"/>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553"/>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2954</v>
      </c>
      <c r="B11" s="3094">
        <v>439</v>
      </c>
      <c r="C11" s="3094">
        <v>327</v>
      </c>
      <c r="D11" s="3094">
        <f t="shared" si="54"/>
        <v>327</v>
      </c>
      <c r="E11" s="3094">
        <v>627</v>
      </c>
      <c r="F11" s="3095">
        <v>283</v>
      </c>
      <c r="G11" s="3551">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2958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552"/>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2574</v>
      </c>
      <c r="B13" s="2632">
        <f t="shared" si="66"/>
        <v>419.31181600000002</v>
      </c>
      <c r="C13" s="2632">
        <f t="shared" si="66"/>
        <v>313.95436800000004</v>
      </c>
      <c r="D13" s="2632">
        <f t="shared" si="54"/>
        <v>313.95436800000004</v>
      </c>
      <c r="E13" s="2632">
        <f t="shared" si="67"/>
        <v>596.63028431999999</v>
      </c>
      <c r="F13" s="2632">
        <f t="shared" si="67"/>
        <v>274.74220703999998</v>
      </c>
      <c r="G13" s="3552"/>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2575</v>
      </c>
      <c r="B14" s="2632">
        <f t="shared" si="66"/>
        <v>405.524</v>
      </c>
      <c r="C14" s="2632">
        <f t="shared" si="66"/>
        <v>307.79840000000002</v>
      </c>
      <c r="D14" s="2632">
        <f t="shared" si="54"/>
        <v>307.79840000000002</v>
      </c>
      <c r="E14" s="2632">
        <f t="shared" si="67"/>
        <v>574.67759999999998</v>
      </c>
      <c r="F14" s="2632">
        <f t="shared" si="67"/>
        <v>270.20280000000002</v>
      </c>
      <c r="G14" s="3553"/>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551">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552"/>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552"/>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555"/>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554">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552"/>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552"/>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555"/>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554">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552"/>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552"/>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555"/>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2633</v>
      </c>
      <c r="X26" s="2728">
        <v>1</v>
      </c>
      <c r="Y26" s="2728">
        <v>1</v>
      </c>
      <c r="Z26" s="2728">
        <v>1</v>
      </c>
      <c r="AA26" s="2728">
        <v>1</v>
      </c>
      <c r="AB26" s="2728">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9" t="s">
        <v>2576</v>
      </c>
      <c r="B27" s="2624">
        <v>299</v>
      </c>
      <c r="C27" s="2624">
        <v>252</v>
      </c>
      <c r="D27" s="2624">
        <f t="shared" si="76"/>
        <v>252</v>
      </c>
      <c r="E27" s="2624">
        <v>409</v>
      </c>
      <c r="F27" s="2625">
        <v>227</v>
      </c>
      <c r="G27" s="3559">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2577</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560"/>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2578</v>
      </c>
      <c r="B29" s="2632">
        <f t="shared" si="85"/>
        <v>288.2649053828776</v>
      </c>
      <c r="C29" s="2632">
        <f t="shared" si="85"/>
        <v>243.64564425013293</v>
      </c>
      <c r="D29" s="2632">
        <f t="shared" si="76"/>
        <v>243.64564425013293</v>
      </c>
      <c r="E29" s="2632">
        <f t="shared" si="86"/>
        <v>393.31080825986544</v>
      </c>
      <c r="F29" s="2632">
        <f t="shared" si="86"/>
        <v>223.07903790551154</v>
      </c>
      <c r="G29" s="3560"/>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2579</v>
      </c>
      <c r="B30" s="2632">
        <f t="shared" si="85"/>
        <v>282.50186729015837</v>
      </c>
      <c r="C30" s="2632">
        <f t="shared" si="85"/>
        <v>238.09796174155468</v>
      </c>
      <c r="D30" s="2632">
        <f t="shared" si="76"/>
        <v>238.09796174155468</v>
      </c>
      <c r="E30" s="2632">
        <f t="shared" si="86"/>
        <v>385.33438646014054</v>
      </c>
      <c r="F30" s="2632">
        <f t="shared" si="86"/>
        <v>221.55034055567739</v>
      </c>
      <c r="G30" s="3561"/>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2580</v>
      </c>
      <c r="B31" s="2662">
        <v>278</v>
      </c>
      <c r="C31" s="2662">
        <v>234</v>
      </c>
      <c r="D31" s="2662">
        <f t="shared" si="76"/>
        <v>234</v>
      </c>
      <c r="E31" s="2662">
        <v>379</v>
      </c>
      <c r="F31" s="2663">
        <v>220</v>
      </c>
      <c r="G31" s="3554">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2581</v>
      </c>
      <c r="B32" s="2632">
        <f>B31/(1+N31)</f>
        <v>275.49301357645425</v>
      </c>
      <c r="C32" s="2632">
        <f>C31/(1+O31)</f>
        <v>232.41954707985698</v>
      </c>
      <c r="D32" s="2632">
        <f t="shared" si="76"/>
        <v>232.41954707985698</v>
      </c>
      <c r="E32" s="2632">
        <f t="shared" ref="E32:F34" si="87">E31/(1+P31)</f>
        <v>375.32184591008121</v>
      </c>
      <c r="F32" s="2632">
        <f t="shared" si="87"/>
        <v>218.03766105054513</v>
      </c>
      <c r="G32" s="3552"/>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2582</v>
      </c>
      <c r="B33" s="2632">
        <f>B32/(1+N32)</f>
        <v>275.24529281292263</v>
      </c>
      <c r="C33" s="2632">
        <f>C32/(1+O32)</f>
        <v>231.74747938962707</v>
      </c>
      <c r="D33" s="2632">
        <f t="shared" si="76"/>
        <v>231.74747938962707</v>
      </c>
      <c r="E33" s="2632">
        <f t="shared" si="87"/>
        <v>375.35938184826603</v>
      </c>
      <c r="F33" s="2632">
        <f t="shared" si="87"/>
        <v>216.78033510692495</v>
      </c>
      <c r="G33" s="3552"/>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2583</v>
      </c>
      <c r="B34" s="2632">
        <f>B33/(1+N33)</f>
        <v>275.19025476197027</v>
      </c>
      <c r="C34" s="2664">
        <v>232</v>
      </c>
      <c r="D34" s="2664">
        <f t="shared" si="76"/>
        <v>232</v>
      </c>
      <c r="E34" s="2632">
        <f t="shared" si="87"/>
        <v>375.65990977608692</v>
      </c>
      <c r="F34" s="2632">
        <f t="shared" si="87"/>
        <v>214.12518283971252</v>
      </c>
      <c r="G34" s="3555"/>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2584</v>
      </c>
      <c r="B35" s="2624">
        <v>275</v>
      </c>
      <c r="C35" s="2624">
        <v>232</v>
      </c>
      <c r="D35" s="2624">
        <f t="shared" si="76"/>
        <v>232</v>
      </c>
      <c r="E35" s="2624">
        <v>376</v>
      </c>
      <c r="F35" s="2625">
        <v>213</v>
      </c>
      <c r="G35" s="3554">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2585</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552">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2586</v>
      </c>
      <c r="B37" s="2632">
        <f t="shared" si="88"/>
        <v>275.19335084830601</v>
      </c>
      <c r="C37" s="2632">
        <f t="shared" si="88"/>
        <v>230.18088050139744</v>
      </c>
      <c r="D37" s="2632">
        <f t="shared" si="76"/>
        <v>230.18088050139744</v>
      </c>
      <c r="E37" s="2632">
        <f t="shared" si="89"/>
        <v>377.58482925212331</v>
      </c>
      <c r="F37" s="2632">
        <f t="shared" si="89"/>
        <v>210.90687997847917</v>
      </c>
      <c r="G37" s="3552">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2587</v>
      </c>
      <c r="B38" s="2632">
        <f t="shared" si="88"/>
        <v>276.29854502841971</v>
      </c>
      <c r="C38" s="2632">
        <f t="shared" si="88"/>
        <v>229.79023709833027</v>
      </c>
      <c r="D38" s="2632">
        <f t="shared" si="76"/>
        <v>229.79023709833027</v>
      </c>
      <c r="E38" s="2632">
        <f t="shared" si="89"/>
        <v>379.78759731655936</v>
      </c>
      <c r="F38" s="2632">
        <f t="shared" si="89"/>
        <v>211.32953905659235</v>
      </c>
      <c r="G38" s="3555">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2588</v>
      </c>
      <c r="B39" s="2624">
        <v>269</v>
      </c>
      <c r="C39" s="2624">
        <v>221</v>
      </c>
      <c r="D39" s="2624">
        <f t="shared" si="76"/>
        <v>221</v>
      </c>
      <c r="E39" s="2624">
        <v>373</v>
      </c>
      <c r="F39" s="2625">
        <v>196</v>
      </c>
      <c r="G39" s="3554">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2589</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552">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2590</v>
      </c>
      <c r="B41" s="2632">
        <f t="shared" si="90"/>
        <v>242.95398227588385</v>
      </c>
      <c r="C41" s="2632">
        <f t="shared" si="90"/>
        <v>199.59137053614126</v>
      </c>
      <c r="D41" s="2632">
        <f t="shared" si="76"/>
        <v>199.59137053614126</v>
      </c>
      <c r="E41" s="2632">
        <f t="shared" si="91"/>
        <v>335.92189522342125</v>
      </c>
      <c r="F41" s="2632">
        <f t="shared" si="91"/>
        <v>183.10139991109489</v>
      </c>
      <c r="G41" s="3552">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2591</v>
      </c>
      <c r="B42" s="2632">
        <f t="shared" si="90"/>
        <v>232.06990378821649</v>
      </c>
      <c r="C42" s="2632">
        <f t="shared" si="90"/>
        <v>192.74878854286936</v>
      </c>
      <c r="D42" s="2632">
        <f t="shared" si="76"/>
        <v>192.74878854286936</v>
      </c>
      <c r="E42" s="2632">
        <f t="shared" si="91"/>
        <v>319.71247284992984</v>
      </c>
      <c r="F42" s="2632">
        <f t="shared" si="91"/>
        <v>175.67053622862409</v>
      </c>
      <c r="G42" s="3555">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2592</v>
      </c>
      <c r="B43" s="2624">
        <v>220</v>
      </c>
      <c r="C43" s="2624">
        <v>187</v>
      </c>
      <c r="D43" s="2624">
        <f t="shared" si="76"/>
        <v>187</v>
      </c>
      <c r="E43" s="2624">
        <v>301</v>
      </c>
      <c r="F43" s="2625">
        <v>168</v>
      </c>
      <c r="G43" s="3554">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2593</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552">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2594</v>
      </c>
      <c r="B45" s="2632">
        <f t="shared" si="92"/>
        <v>210.630522469011</v>
      </c>
      <c r="C45" s="2632">
        <f t="shared" si="92"/>
        <v>181.69567812247232</v>
      </c>
      <c r="D45" s="2632">
        <f t="shared" si="76"/>
        <v>181.69567812247232</v>
      </c>
      <c r="E45" s="2632">
        <f t="shared" si="93"/>
        <v>286.13517466736738</v>
      </c>
      <c r="F45" s="2632">
        <f t="shared" si="93"/>
        <v>165.47535084591149</v>
      </c>
      <c r="G45" s="3552">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2595</v>
      </c>
      <c r="B46" s="2632">
        <f t="shared" si="92"/>
        <v>208.83454537875372</v>
      </c>
      <c r="C46" s="2632">
        <f t="shared" si="92"/>
        <v>183.77230517090351</v>
      </c>
      <c r="D46" s="2632">
        <f t="shared" si="76"/>
        <v>183.77230517090351</v>
      </c>
      <c r="E46" s="2632">
        <f t="shared" si="93"/>
        <v>281.10342338870947</v>
      </c>
      <c r="F46" s="2632">
        <f t="shared" si="93"/>
        <v>168.97309388942256</v>
      </c>
      <c r="G46" s="3555">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2596</v>
      </c>
      <c r="B47" s="2662">
        <v>214</v>
      </c>
      <c r="C47" s="2662">
        <v>188</v>
      </c>
      <c r="D47" s="2662">
        <f t="shared" si="76"/>
        <v>188</v>
      </c>
      <c r="E47" s="2662">
        <v>289</v>
      </c>
      <c r="F47" s="2663">
        <v>166</v>
      </c>
      <c r="G47" s="3554">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2597</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552">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2598</v>
      </c>
      <c r="B49" s="2632">
        <f t="shared" si="94"/>
        <v>206.31694671589116</v>
      </c>
      <c r="C49" s="2632">
        <f t="shared" si="94"/>
        <v>183.61041121036101</v>
      </c>
      <c r="D49" s="2632">
        <f t="shared" si="76"/>
        <v>183.61041121036101</v>
      </c>
      <c r="E49" s="2632">
        <f t="shared" si="95"/>
        <v>276.66850301795557</v>
      </c>
      <c r="F49" s="2632">
        <f t="shared" si="95"/>
        <v>165.1360938278614</v>
      </c>
      <c r="G49" s="3552">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2599</v>
      </c>
      <c r="B50" s="2665">
        <f t="shared" si="94"/>
        <v>196.62341248059772</v>
      </c>
      <c r="C50" s="2665">
        <f t="shared" si="94"/>
        <v>170.99125648199012</v>
      </c>
      <c r="D50" s="2665">
        <f t="shared" si="76"/>
        <v>170.99125648199012</v>
      </c>
      <c r="E50" s="2665">
        <f t="shared" si="95"/>
        <v>266.07857570490052</v>
      </c>
      <c r="F50" s="2665">
        <f t="shared" si="95"/>
        <v>154.53499328828505</v>
      </c>
      <c r="G50" s="3555">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2600</v>
      </c>
      <c r="B51" s="2624">
        <v>188</v>
      </c>
      <c r="C51" s="2624">
        <v>165</v>
      </c>
      <c r="D51" s="2624">
        <f t="shared" si="76"/>
        <v>165</v>
      </c>
      <c r="E51" s="2624">
        <v>254</v>
      </c>
      <c r="F51" s="2625">
        <v>148</v>
      </c>
      <c r="G51" s="3554">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2601</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552">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2602</v>
      </c>
      <c r="B53" s="2632">
        <f t="shared" si="98"/>
        <v>168.82017748715555</v>
      </c>
      <c r="C53" s="2632">
        <f t="shared" si="98"/>
        <v>148.06267029972753</v>
      </c>
      <c r="D53" s="2632">
        <f t="shared" si="76"/>
        <v>148.06267029972753</v>
      </c>
      <c r="E53" s="2632">
        <f t="shared" si="99"/>
        <v>216.46288379323747</v>
      </c>
      <c r="F53" s="2632">
        <f t="shared" si="99"/>
        <v>134.23529411764704</v>
      </c>
      <c r="G53" s="3552">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2603</v>
      </c>
      <c r="B54" s="2632">
        <f t="shared" si="98"/>
        <v>163.84913591779542</v>
      </c>
      <c r="C54" s="2632">
        <f t="shared" si="98"/>
        <v>145.0283378746594</v>
      </c>
      <c r="D54" s="2632">
        <f t="shared" si="76"/>
        <v>145.0283378746594</v>
      </c>
      <c r="E54" s="2632">
        <f t="shared" si="99"/>
        <v>204.95180722891567</v>
      </c>
      <c r="F54" s="2632">
        <f t="shared" si="99"/>
        <v>125.95920303605313</v>
      </c>
      <c r="G54" s="3555">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2604</v>
      </c>
      <c r="B55" s="2646">
        <v>159</v>
      </c>
      <c r="C55" s="2646">
        <v>141</v>
      </c>
      <c r="D55" s="2646">
        <f t="shared" si="76"/>
        <v>141</v>
      </c>
      <c r="E55" s="2646">
        <v>195</v>
      </c>
      <c r="F55" s="2647">
        <v>122</v>
      </c>
      <c r="G55" s="3554">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2605</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552">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2606</v>
      </c>
      <c r="B57" s="2632">
        <f t="shared" si="102"/>
        <v>146.57412060301507</v>
      </c>
      <c r="C57" s="2632">
        <f t="shared" si="102"/>
        <v>136.46831955922866</v>
      </c>
      <c r="D57" s="2632">
        <f t="shared" si="76"/>
        <v>136.46831955922866</v>
      </c>
      <c r="E57" s="2632">
        <f t="shared" si="103"/>
        <v>166.73864894795128</v>
      </c>
      <c r="F57" s="2632">
        <f t="shared" si="103"/>
        <v>115.05882352941177</v>
      </c>
      <c r="G57" s="3552">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2607</v>
      </c>
      <c r="B58" s="2632">
        <f t="shared" si="102"/>
        <v>144.04145728643215</v>
      </c>
      <c r="C58" s="2632">
        <f t="shared" si="102"/>
        <v>136.12396694214877</v>
      </c>
      <c r="D58" s="2632">
        <f t="shared" si="76"/>
        <v>136.12396694214877</v>
      </c>
      <c r="E58" s="2632">
        <f t="shared" si="103"/>
        <v>158.32225913621264</v>
      </c>
      <c r="F58" s="2632">
        <f t="shared" si="103"/>
        <v>114.04278074866311</v>
      </c>
      <c r="G58" s="3555">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2608</v>
      </c>
      <c r="B59" s="2646">
        <v>138</v>
      </c>
      <c r="C59" s="2646">
        <v>131</v>
      </c>
      <c r="D59" s="2646">
        <f t="shared" si="76"/>
        <v>131</v>
      </c>
      <c r="E59" s="2646">
        <v>155</v>
      </c>
      <c r="F59" s="2647">
        <v>114</v>
      </c>
      <c r="G59" s="3554">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2609</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552">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2610</v>
      </c>
      <c r="B61" s="2632">
        <f t="shared" si="106"/>
        <v>124.29032258064517</v>
      </c>
      <c r="C61" s="2632">
        <f t="shared" si="106"/>
        <v>123.8968609865471</v>
      </c>
      <c r="D61" s="2632">
        <f t="shared" si="76"/>
        <v>123.8968609865471</v>
      </c>
      <c r="E61" s="2632">
        <f t="shared" si="107"/>
        <v>138.00507614213197</v>
      </c>
      <c r="F61" s="2632">
        <f t="shared" si="107"/>
        <v>107.96106557377048</v>
      </c>
      <c r="G61" s="3552">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2611</v>
      </c>
      <c r="B62" s="2632">
        <f t="shared" si="106"/>
        <v>122.57204301075269</v>
      </c>
      <c r="C62" s="2632">
        <f t="shared" si="106"/>
        <v>123.4932735426009</v>
      </c>
      <c r="D62" s="2632">
        <f t="shared" si="76"/>
        <v>123.4932735426009</v>
      </c>
      <c r="E62" s="2632">
        <f t="shared" si="107"/>
        <v>129.82233502538071</v>
      </c>
      <c r="F62" s="2632">
        <f t="shared" si="107"/>
        <v>107.39446721311475</v>
      </c>
      <c r="G62" s="3555">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2612</v>
      </c>
      <c r="B63" s="2662">
        <v>121</v>
      </c>
      <c r="C63" s="2662">
        <v>122</v>
      </c>
      <c r="D63" s="2662">
        <f t="shared" si="76"/>
        <v>122</v>
      </c>
      <c r="E63" s="2662">
        <v>124</v>
      </c>
      <c r="F63" s="2663">
        <v>107</v>
      </c>
      <c r="G63" s="3554">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2613</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552">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2614</v>
      </c>
      <c r="B65" s="2632">
        <f t="shared" si="110"/>
        <v>116.99099099099099</v>
      </c>
      <c r="C65" s="2632">
        <f t="shared" si="110"/>
        <v>118.84848484848486</v>
      </c>
      <c r="D65" s="2632">
        <f t="shared" si="76"/>
        <v>118.84848484848486</v>
      </c>
      <c r="E65" s="2632">
        <f t="shared" si="111"/>
        <v>117.60960960960961</v>
      </c>
      <c r="F65" s="2632">
        <f t="shared" si="111"/>
        <v>104</v>
      </c>
      <c r="G65" s="3552">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2615</v>
      </c>
      <c r="B66" s="2665">
        <f t="shared" si="110"/>
        <v>112.48648648648648</v>
      </c>
      <c r="C66" s="2665">
        <f t="shared" si="110"/>
        <v>115.21212121212122</v>
      </c>
      <c r="D66" s="2665">
        <f t="shared" si="76"/>
        <v>115.21212121212122</v>
      </c>
      <c r="E66" s="2665">
        <f t="shared" si="111"/>
        <v>110.4024024024024</v>
      </c>
      <c r="F66" s="2665">
        <f t="shared" si="111"/>
        <v>104</v>
      </c>
      <c r="G66" s="3555">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2616</v>
      </c>
      <c r="B67" s="2683">
        <v>111</v>
      </c>
      <c r="C67" s="2683">
        <v>114</v>
      </c>
      <c r="D67" s="2683">
        <f t="shared" si="76"/>
        <v>114</v>
      </c>
      <c r="E67" s="2683">
        <v>108</v>
      </c>
      <c r="F67" s="2684">
        <v>104</v>
      </c>
      <c r="G67" s="3554">
        <v>2003</v>
      </c>
      <c r="H67" s="2673">
        <v>4</v>
      </c>
      <c r="I67" s="2685"/>
      <c r="J67" s="2685"/>
      <c r="K67" s="2685"/>
      <c r="L67" s="2685"/>
      <c r="N67" s="2686"/>
      <c r="O67" s="2685"/>
      <c r="P67" s="2685"/>
      <c r="Q67" s="2685"/>
      <c r="S67" s="2686"/>
      <c r="T67" s="2685"/>
      <c r="U67" s="2685"/>
      <c r="V67" s="2685"/>
      <c r="X67" s="2677"/>
      <c r="Y67" s="2677"/>
      <c r="Z67" s="2677"/>
    </row>
    <row r="68" spans="1:26">
      <c r="A68" s="2619" t="s">
        <v>2617</v>
      </c>
      <c r="B68" s="2687">
        <f t="shared" ref="B68:C70" si="112">B69+(B$67-B$71)/4</f>
        <v>109.75</v>
      </c>
      <c r="C68" s="2687">
        <f t="shared" si="112"/>
        <v>112.25</v>
      </c>
      <c r="D68" s="2687">
        <f t="shared" si="76"/>
        <v>112.25</v>
      </c>
      <c r="E68" s="2687">
        <f t="shared" ref="E68:F70" si="113">E69+(E$67-E$71)/4</f>
        <v>107.25</v>
      </c>
      <c r="F68" s="2687">
        <f t="shared" si="113"/>
        <v>103.5</v>
      </c>
      <c r="G68" s="3552">
        <v>2003</v>
      </c>
      <c r="H68" s="2643">
        <v>3</v>
      </c>
      <c r="I68" s="2685"/>
      <c r="J68" s="2685"/>
      <c r="K68" s="2685"/>
      <c r="L68" s="2685"/>
      <c r="X68" s="2677"/>
      <c r="Y68" s="2677"/>
      <c r="Z68" s="2677"/>
    </row>
    <row r="69" spans="1:26">
      <c r="A69" s="2619" t="s">
        <v>2618</v>
      </c>
      <c r="B69" s="2687">
        <f t="shared" si="112"/>
        <v>108.5</v>
      </c>
      <c r="C69" s="2687">
        <f t="shared" si="112"/>
        <v>110.5</v>
      </c>
      <c r="D69" s="2687">
        <f t="shared" si="76"/>
        <v>110.5</v>
      </c>
      <c r="E69" s="2687">
        <f t="shared" si="113"/>
        <v>106.5</v>
      </c>
      <c r="F69" s="2687">
        <f t="shared" si="113"/>
        <v>103</v>
      </c>
      <c r="G69" s="3552">
        <v>2003</v>
      </c>
      <c r="H69" s="2623">
        <v>2</v>
      </c>
      <c r="I69" s="2685"/>
      <c r="J69" s="2685"/>
      <c r="K69" s="2685"/>
      <c r="L69" s="2685"/>
      <c r="X69" s="2677"/>
      <c r="Y69" s="2677"/>
      <c r="Z69" s="2677"/>
    </row>
    <row r="70" spans="1:26" ht="13.5" thickBot="1">
      <c r="A70" s="2619" t="s">
        <v>2619</v>
      </c>
      <c r="B70" s="2687">
        <f t="shared" si="112"/>
        <v>107.25</v>
      </c>
      <c r="C70" s="2687">
        <f t="shared" si="112"/>
        <v>108.75</v>
      </c>
      <c r="D70" s="2687">
        <f t="shared" si="76"/>
        <v>108.75</v>
      </c>
      <c r="E70" s="2687">
        <f t="shared" si="113"/>
        <v>105.75</v>
      </c>
      <c r="F70" s="2687">
        <f t="shared" si="113"/>
        <v>102.5</v>
      </c>
      <c r="G70" s="3555">
        <v>2003</v>
      </c>
      <c r="H70" s="2688">
        <v>1</v>
      </c>
      <c r="I70" s="2685"/>
      <c r="J70" s="2685"/>
      <c r="K70" s="2685"/>
      <c r="L70" s="2685"/>
      <c r="S70" s="2627"/>
      <c r="T70" s="2628"/>
      <c r="U70" s="2628"/>
      <c r="X70" s="2677"/>
      <c r="Y70" s="2677"/>
      <c r="Z70" s="2677"/>
    </row>
    <row r="71" spans="1:26" ht="13.5" thickBot="1">
      <c r="A71" s="2619" t="s">
        <v>2620</v>
      </c>
      <c r="B71" s="2689">
        <v>106</v>
      </c>
      <c r="C71" s="2689">
        <v>107</v>
      </c>
      <c r="D71" s="2689">
        <f t="shared" si="76"/>
        <v>107</v>
      </c>
      <c r="E71" s="2689">
        <v>105</v>
      </c>
      <c r="F71" s="2690">
        <v>102</v>
      </c>
      <c r="G71" s="3554">
        <v>2002</v>
      </c>
      <c r="H71" s="2638">
        <v>4</v>
      </c>
      <c r="I71" s="2685"/>
      <c r="J71" s="2685"/>
      <c r="K71" s="2685"/>
      <c r="L71" s="2685"/>
      <c r="N71" s="2686"/>
      <c r="O71" s="2685"/>
      <c r="P71" s="2685"/>
      <c r="Q71" s="2685"/>
      <c r="S71" s="2686"/>
      <c r="T71" s="2685"/>
      <c r="U71" s="2685"/>
      <c r="V71" s="2685"/>
      <c r="X71" s="2677"/>
      <c r="Y71" s="2677"/>
      <c r="Z71" s="2677"/>
    </row>
    <row r="72" spans="1:26">
      <c r="A72" s="2619" t="s">
        <v>2621</v>
      </c>
      <c r="B72" s="2687">
        <f t="shared" ref="B72:C74" si="114">B73+(B$71-B$75)/4</f>
        <v>105</v>
      </c>
      <c r="C72" s="2687">
        <f t="shared" si="114"/>
        <v>106</v>
      </c>
      <c r="D72" s="2687">
        <f t="shared" si="76"/>
        <v>106</v>
      </c>
      <c r="E72" s="2687">
        <f t="shared" ref="E72:F74" si="115">E73+(E$71-E$75)/4</f>
        <v>104.5</v>
      </c>
      <c r="F72" s="2687">
        <f t="shared" si="115"/>
        <v>101.5</v>
      </c>
      <c r="G72" s="3552">
        <v>2002</v>
      </c>
      <c r="H72" s="2643">
        <v>3</v>
      </c>
      <c r="I72" s="2685"/>
      <c r="J72" s="2685"/>
      <c r="K72" s="2685"/>
      <c r="L72" s="2685"/>
      <c r="X72" s="2677"/>
      <c r="Y72" s="2677"/>
      <c r="Z72" s="2677"/>
    </row>
    <row r="73" spans="1:26">
      <c r="A73" s="2619" t="s">
        <v>2622</v>
      </c>
      <c r="B73" s="2687">
        <f t="shared" si="114"/>
        <v>104</v>
      </c>
      <c r="C73" s="2687">
        <f t="shared" si="114"/>
        <v>105</v>
      </c>
      <c r="D73" s="2687">
        <f t="shared" si="76"/>
        <v>105</v>
      </c>
      <c r="E73" s="2687">
        <f t="shared" si="115"/>
        <v>104</v>
      </c>
      <c r="F73" s="2687">
        <f t="shared" si="115"/>
        <v>101</v>
      </c>
      <c r="G73" s="3552">
        <v>2002</v>
      </c>
      <c r="H73" s="2623">
        <v>2</v>
      </c>
      <c r="I73" s="2685"/>
      <c r="J73" s="2685"/>
      <c r="K73" s="2685"/>
      <c r="L73" s="2685"/>
      <c r="X73" s="2677"/>
      <c r="Y73" s="2677"/>
      <c r="Z73" s="2677"/>
    </row>
    <row r="74" spans="1:26" s="2654" customFormat="1" ht="13.5" thickBot="1">
      <c r="A74" s="2650" t="s">
        <v>2623</v>
      </c>
      <c r="B74" s="2691">
        <f t="shared" si="114"/>
        <v>103</v>
      </c>
      <c r="C74" s="2691">
        <f t="shared" si="114"/>
        <v>104</v>
      </c>
      <c r="D74" s="2691">
        <f t="shared" si="76"/>
        <v>104</v>
      </c>
      <c r="E74" s="2691">
        <f t="shared" si="115"/>
        <v>103.5</v>
      </c>
      <c r="F74" s="2691">
        <f t="shared" si="115"/>
        <v>100.5</v>
      </c>
      <c r="G74" s="3555">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2624</v>
      </c>
      <c r="G77" s="2701"/>
      <c r="N77" s="2701"/>
      <c r="S77" s="2701"/>
    </row>
    <row r="78" spans="1:26" s="2700" customFormat="1">
      <c r="A78" s="2700" t="s">
        <v>2625</v>
      </c>
      <c r="G78" s="2701"/>
      <c r="N78" s="2701"/>
      <c r="S78" s="2701"/>
    </row>
    <row r="79" spans="1:26" s="2700" customFormat="1">
      <c r="A79" s="2700" t="s">
        <v>2626</v>
      </c>
      <c r="G79" s="2701"/>
      <c r="I79" s="2702"/>
      <c r="J79" s="2702"/>
      <c r="K79" s="2702"/>
      <c r="L79" s="2702"/>
      <c r="N79" s="2703"/>
      <c r="O79" s="2702"/>
      <c r="P79" s="2702"/>
      <c r="Q79" s="2702"/>
      <c r="S79" s="2703"/>
      <c r="T79" s="2702"/>
      <c r="U79" s="2702"/>
      <c r="V79" s="2702"/>
    </row>
    <row r="80" spans="1:26" s="2700" customFormat="1">
      <c r="A80" s="2700" t="s">
        <v>2627</v>
      </c>
      <c r="G80" s="2701"/>
      <c r="N80" s="2701"/>
      <c r="S80" s="2701"/>
    </row>
    <row r="87" spans="7:22" ht="13.5" thickBot="1"/>
    <row r="88" spans="7:22">
      <c r="G88" s="2626"/>
      <c r="S88" s="2704" t="s">
        <v>2628</v>
      </c>
      <c r="T88" s="2705" t="s">
        <v>2629</v>
      </c>
      <c r="U88" s="2705" t="s">
        <v>2630</v>
      </c>
      <c r="V88" s="2705" t="s">
        <v>2631</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2936</v>
      </c>
      <c r="B1" s="3054"/>
      <c r="C1" s="3054"/>
      <c r="D1" s="3054"/>
      <c r="E1" s="3054"/>
      <c r="F1" s="3054"/>
    </row>
    <row r="2" spans="1:6" ht="14.25">
      <c r="A2" s="3055" t="s">
        <v>2931</v>
      </c>
      <c r="B2" s="3056" t="e">
        <f ca="1">SUMIF(B7:B14,"&lt;&gt;#ref!",B7:B14)</f>
        <v>#DIV/0!</v>
      </c>
      <c r="C2" s="3055" t="s">
        <v>2932</v>
      </c>
      <c r="D2" s="3054"/>
      <c r="E2" s="3054"/>
      <c r="F2" s="3054"/>
    </row>
    <row r="3" spans="1:6" ht="14.25">
      <c r="A3" s="3055" t="s">
        <v>2964</v>
      </c>
      <c r="B3" s="3056" t="e">
        <f ca="1">ROUND(B2*10000/E3,0)</f>
        <v>#DIV/0!</v>
      </c>
      <c r="C3" s="3055" t="s">
        <v>2074</v>
      </c>
      <c r="D3" s="3055" t="s">
        <v>2933</v>
      </c>
      <c r="E3" s="3056">
        <f ca="1">SUMIF(E7:E14,"&lt;&gt;#ref!",E7:E14)</f>
        <v>0</v>
      </c>
      <c r="F3" s="3054"/>
    </row>
    <row r="4" spans="1:6" ht="14.25">
      <c r="A4" s="3055" t="s">
        <v>2940</v>
      </c>
      <c r="B4" s="3056" t="e">
        <f ca="1">ROUND(B2*10000/E4,0)</f>
        <v>#DIV/0!</v>
      </c>
      <c r="C4" s="3055" t="s">
        <v>2074</v>
      </c>
      <c r="D4" s="3055" t="s">
        <v>2941</v>
      </c>
      <c r="E4" s="3056">
        <f ca="1">SUMIF(F7:F14,"&lt;&gt;#ref!",F7:F14)</f>
        <v>0</v>
      </c>
      <c r="F4" s="3054"/>
    </row>
    <row r="5" spans="1:6" ht="14.25">
      <c r="A5" s="3057"/>
      <c r="B5" s="1866"/>
      <c r="C5" s="1866"/>
      <c r="D5" s="1866"/>
      <c r="E5" s="1866"/>
      <c r="F5" s="3054"/>
    </row>
    <row r="6" spans="1:6" ht="28.5">
      <c r="A6" s="3058" t="s">
        <v>2937</v>
      </c>
      <c r="B6" s="3055" t="s">
        <v>2934</v>
      </c>
      <c r="C6" s="3056"/>
      <c r="D6" s="1866"/>
      <c r="E6" s="3055" t="s">
        <v>2935</v>
      </c>
      <c r="F6" s="3055" t="s">
        <v>2939</v>
      </c>
    </row>
    <row r="7" spans="1:6" ht="14.25">
      <c r="A7" s="260" t="s">
        <v>2938</v>
      </c>
      <c r="B7" s="3059" t="e">
        <f ca="1">SUMIF(INDIRECT("'"&amp;A7&amp;"'"&amp;"!A:A"),"总价",INDIRECT("'"&amp;A7&amp;"'"&amp;"!B:B"))</f>
        <v>#DIV/0!</v>
      </c>
      <c r="C7" s="3055" t="s">
        <v>2932</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2932</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2932</v>
      </c>
      <c r="D9" s="1866"/>
      <c r="E9" s="3060" t="e">
        <f t="shared" ca="1" si="1"/>
        <v>#REF!</v>
      </c>
      <c r="F9" s="3060" t="e">
        <f t="shared" ca="1" si="2"/>
        <v>#REF!</v>
      </c>
    </row>
    <row r="10" spans="1:6" ht="14.25">
      <c r="A10" s="260"/>
      <c r="B10" s="3059" t="e">
        <f t="shared" ca="1" si="0"/>
        <v>#REF!</v>
      </c>
      <c r="C10" s="3055" t="s">
        <v>2932</v>
      </c>
      <c r="D10" s="1866"/>
      <c r="E10" s="3060" t="e">
        <f t="shared" ca="1" si="1"/>
        <v>#REF!</v>
      </c>
      <c r="F10" s="3060" t="e">
        <f t="shared" ca="1" si="2"/>
        <v>#REF!</v>
      </c>
    </row>
    <row r="11" spans="1:6" ht="14.25">
      <c r="A11" s="260"/>
      <c r="B11" s="3059" t="e">
        <f t="shared" ca="1" si="0"/>
        <v>#REF!</v>
      </c>
      <c r="C11" s="3055" t="s">
        <v>2932</v>
      </c>
      <c r="D11" s="1866"/>
      <c r="E11" s="3060" t="e">
        <f t="shared" ca="1" si="1"/>
        <v>#REF!</v>
      </c>
      <c r="F11" s="3060" t="e">
        <f t="shared" ca="1" si="2"/>
        <v>#REF!</v>
      </c>
    </row>
    <row r="12" spans="1:6" ht="14.25">
      <c r="A12" s="260"/>
      <c r="B12" s="3059" t="e">
        <f t="shared" ca="1" si="0"/>
        <v>#REF!</v>
      </c>
      <c r="C12" s="3055" t="s">
        <v>2932</v>
      </c>
      <c r="D12" s="1866"/>
      <c r="E12" s="3060" t="e">
        <f t="shared" ca="1" si="1"/>
        <v>#REF!</v>
      </c>
      <c r="F12" s="3060" t="e">
        <f t="shared" ca="1" si="2"/>
        <v>#REF!</v>
      </c>
    </row>
    <row r="13" spans="1:6" ht="14.25">
      <c r="A13" s="260"/>
      <c r="B13" s="3059" t="e">
        <f t="shared" ca="1" si="0"/>
        <v>#REF!</v>
      </c>
      <c r="C13" s="3055" t="s">
        <v>2932</v>
      </c>
      <c r="D13" s="1866"/>
      <c r="E13" s="3060" t="e">
        <f t="shared" ca="1" si="1"/>
        <v>#REF!</v>
      </c>
      <c r="F13" s="3060" t="e">
        <f t="shared" ca="1" si="2"/>
        <v>#REF!</v>
      </c>
    </row>
    <row r="14" spans="1:6" ht="14.25">
      <c r="A14" s="3053"/>
      <c r="B14" s="3059" t="e">
        <f t="shared" ca="1" si="0"/>
        <v>#REF!</v>
      </c>
      <c r="C14" s="3055" t="s">
        <v>2932</v>
      </c>
      <c r="D14" s="1866"/>
      <c r="E14" s="3060" t="e">
        <f t="shared" ca="1" si="1"/>
        <v>#REF!</v>
      </c>
      <c r="F14" s="3060"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南京启迪科技新城发展有限公司：</v>
      </c>
    </row>
    <row r="4" spans="1:4" ht="37.5">
      <c r="A4" s="1776" t="str">
        <f>"受贵公司委托，我公司对"&amp;项目基本情况!K2&amp;项目基本情况!B9&amp;"进行了预评估。"</f>
        <v>受贵公司委托，我公司对江苏省南京市浦口区总部大道以北地块出让国有建设用地使用权抵押价格进行了预评估。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7" spans="1:4" ht="56.25">
      <c r="A7" s="1780" t="s">
        <v>2740</v>
      </c>
    </row>
    <row r="8" spans="1:4" ht="18.75">
      <c r="A8" s="1779" t="s">
        <v>1905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2019年6月13日（评估专业人员勘察现场之日）</v>
      </c>
    </row>
    <row r="12" spans="1:4" ht="18.75">
      <c r="A12" s="1782" t="s">
        <v>2021</v>
      </c>
    </row>
    <row r="13" spans="1:4" ht="18.75">
      <c r="A13" s="1776" t="s">
        <v>2928</v>
      </c>
    </row>
    <row r="14" spans="1:4" ht="56.25">
      <c r="A14" s="1776"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根据《出让合同》[]，估价对象（分摊）出让国有建设用地使用权面积为77285.8平方米。根据《经济技术指标》[]，估价对象规划建筑面积为240271.9平方米。</v>
      </c>
    </row>
    <row r="21" spans="1:1" ht="18.75">
      <c r="A21" s="1776" t="s">
        <v>2070</v>
      </c>
    </row>
    <row r="22" spans="1:1" ht="11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2081年12月7日、商业2051年12月7日、办公2061年12月7日、车库2061年12月7日、仓储2061年12月7日、工业2061年12月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2368</v>
      </c>
      <c r="F1" s="2352">
        <f ca="1">J54</f>
        <v>-2</v>
      </c>
      <c r="G1" s="774">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2451</v>
      </c>
      <c r="C7" s="53">
        <f ca="1">C8+C12+C14</f>
        <v>0</v>
      </c>
      <c r="D7" s="2460" t="s">
        <v>2454</v>
      </c>
      <c r="E7" s="2454"/>
      <c r="F7" s="2455"/>
      <c r="G7" s="1578"/>
      <c r="H7" s="781">
        <v>1</v>
      </c>
      <c r="I7" s="782" t="s">
        <v>2451</v>
      </c>
      <c r="J7" s="53">
        <f ca="1">J8+J12+J14</f>
        <v>0</v>
      </c>
      <c r="K7" s="2460" t="s">
        <v>2454</v>
      </c>
      <c r="L7" s="2454"/>
      <c r="M7" s="2455"/>
    </row>
    <row r="8" spans="1:25" ht="18" customHeight="1">
      <c r="A8" s="1815" t="s">
        <v>1823</v>
      </c>
      <c r="B8" s="3563" t="s">
        <v>2456</v>
      </c>
      <c r="C8" s="1810">
        <f ca="1">ROUND(F8*F10*F9*(1-F11)/10000,0)</f>
        <v>0</v>
      </c>
      <c r="D8" s="1807" t="s">
        <v>2527</v>
      </c>
      <c r="E8" s="61" t="s">
        <v>636</v>
      </c>
      <c r="F8" s="785">
        <f ca="1">INDIRECT("'数据-取费表'!u"&amp;$G$1)</f>
        <v>0</v>
      </c>
      <c r="G8" s="1578"/>
      <c r="H8" s="2468" t="s">
        <v>1823</v>
      </c>
      <c r="I8" s="3563" t="s">
        <v>2456</v>
      </c>
      <c r="J8" s="783">
        <f ca="1">ROUND(M8*M10*M9*(1-M11)/10000,0)</f>
        <v>0</v>
      </c>
      <c r="K8" s="341" t="s">
        <v>2527</v>
      </c>
      <c r="L8" s="784" t="s">
        <v>1737</v>
      </c>
      <c r="M8" s="785">
        <f ca="1">INDIRECT("'数据-取费表'!z"&amp;$G$1)</f>
        <v>0</v>
      </c>
    </row>
    <row r="9" spans="1:25" ht="18" customHeight="1">
      <c r="A9" s="2464"/>
      <c r="B9" s="3564"/>
      <c r="C9" s="1811"/>
      <c r="D9" s="1808"/>
      <c r="E9" s="61" t="s">
        <v>637</v>
      </c>
      <c r="F9" s="785">
        <f ca="1">IF(INDIRECT("'数据-取费表'!ah"&amp;$G$1)="",INDIRECT("'数据-取费表'!k"&amp;$G$1),INDIRECT("'数据-取费表'!ah"&amp;$G$1))</f>
        <v>0</v>
      </c>
      <c r="G9" s="1578"/>
      <c r="H9" s="2453"/>
      <c r="I9" s="3564"/>
      <c r="J9" s="788"/>
      <c r="K9" s="789"/>
      <c r="L9" s="784" t="s">
        <v>1738</v>
      </c>
      <c r="M9" s="785">
        <f ca="1">F9</f>
        <v>0</v>
      </c>
    </row>
    <row r="10" spans="1:25" ht="18" customHeight="1">
      <c r="A10" s="2457"/>
      <c r="B10" s="3565"/>
      <c r="C10" s="1811"/>
      <c r="D10" s="1808"/>
      <c r="E10" s="61" t="s">
        <v>638</v>
      </c>
      <c r="F10" s="785">
        <f ca="1">INDIRECT("'数据-取费表'!ai"&amp;$G$1)</f>
        <v>0</v>
      </c>
      <c r="G10" s="1578"/>
      <c r="H10" s="2453"/>
      <c r="I10" s="3565"/>
      <c r="J10" s="788"/>
      <c r="K10" s="789"/>
      <c r="L10" s="784" t="s">
        <v>1739</v>
      </c>
      <c r="M10" s="785">
        <f ca="1">INDIRECT("'数据-取费表'!ai"&amp;$G$1)</f>
        <v>0</v>
      </c>
    </row>
    <row r="11" spans="1:25" ht="18" customHeight="1">
      <c r="A11" s="786"/>
      <c r="B11" s="3566"/>
      <c r="C11" s="1811"/>
      <c r="D11" s="1808"/>
      <c r="E11" s="61" t="s">
        <v>639</v>
      </c>
      <c r="F11" s="794">
        <f ca="1">INDIRECT("'数据-取费表'!w"&amp;$G$1)</f>
        <v>0</v>
      </c>
      <c r="G11" s="1578"/>
      <c r="H11" s="2469"/>
      <c r="I11" s="3565"/>
      <c r="J11" s="788"/>
      <c r="K11" s="789"/>
      <c r="L11" s="795" t="s">
        <v>1740</v>
      </c>
      <c r="M11" s="796">
        <f ca="1">INDIRECT("'数据-取费表'!ab"&amp;$G$1)</f>
        <v>0</v>
      </c>
    </row>
    <row r="12" spans="1:25" ht="18" customHeight="1">
      <c r="A12" s="1815" t="s">
        <v>1824</v>
      </c>
      <c r="B12" s="2458" t="s">
        <v>2452</v>
      </c>
      <c r="C12" s="799">
        <f ca="1">ROUND(IF(F12="押一",C8/12*F13,IF(F12="押二",C8/12*2*F13,IF(F12="押三",C8/12*3*F13,C13*F13))),0)</f>
        <v>0</v>
      </c>
      <c r="D12" s="2465" t="s">
        <v>2961</v>
      </c>
      <c r="E12" s="2462" t="s">
        <v>2457</v>
      </c>
      <c r="F12" s="2585"/>
      <c r="G12" s="1578"/>
      <c r="H12" s="2525" t="s">
        <v>1824</v>
      </c>
      <c r="I12" s="2530" t="s">
        <v>2452</v>
      </c>
      <c r="J12" s="783">
        <f ca="1">ROUND(IF(M12="押一",J8/12*M13,IF(M12="押二",J8/12*2*M13,IF(M12="押三",J8/12*3*M13,J13*M13))),0)</f>
        <v>0</v>
      </c>
      <c r="K12" s="2465" t="s">
        <v>2961</v>
      </c>
      <c r="L12" s="2462" t="s">
        <v>2457</v>
      </c>
      <c r="M12" s="2585"/>
    </row>
    <row r="13" spans="1:25" ht="18" customHeight="1">
      <c r="A13" s="790"/>
      <c r="B13" s="2459" t="s">
        <v>2566</v>
      </c>
      <c r="C13" s="2463"/>
      <c r="D13" s="789"/>
      <c r="E13" s="2462" t="s">
        <v>2449</v>
      </c>
      <c r="F13" s="796">
        <f ca="1">'数据-取费表'!B39</f>
        <v>1.4999999999999999E-2</v>
      </c>
      <c r="G13" s="1578"/>
      <c r="H13" s="2526"/>
      <c r="I13" s="2459" t="s">
        <v>2566</v>
      </c>
      <c r="J13" s="2463"/>
      <c r="K13" s="2527"/>
      <c r="L13" s="2462" t="s">
        <v>2449</v>
      </c>
      <c r="M13" s="2456">
        <f ca="1">'数据-取费表'!B39</f>
        <v>1.4999999999999999E-2</v>
      </c>
    </row>
    <row r="14" spans="1:25" ht="18" customHeight="1" thickBot="1">
      <c r="A14" s="2501" t="s">
        <v>2460</v>
      </c>
      <c r="B14" s="2502" t="s">
        <v>2453</v>
      </c>
      <c r="C14" s="2503"/>
      <c r="D14" s="2504"/>
      <c r="E14" s="2505"/>
      <c r="F14" s="2506"/>
      <c r="G14" s="1578"/>
      <c r="H14" s="2515" t="s">
        <v>2460</v>
      </c>
      <c r="I14" s="2528" t="s">
        <v>2453</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2065</v>
      </c>
      <c r="I16" s="2216" t="s">
        <v>2818</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79"/>
      <c r="H17" s="803" t="s">
        <v>2066</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180</v>
      </c>
      <c r="G19" s="1579"/>
      <c r="H19" s="803" t="s">
        <v>2065</v>
      </c>
      <c r="I19" s="784" t="s">
        <v>655</v>
      </c>
      <c r="J19" s="53">
        <f ca="1">ROUND(IF(项目基本情况!B11="自然人",J7*M19,J20+J21+J22),0)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ROUND(J7*M20/1.05,1)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IF(K21="按租金收入计税",ROUND(J7*M21,1),ROUND(C31*F35*0.7,1))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2066</v>
      </c>
      <c r="I24" s="784" t="s">
        <v>675</v>
      </c>
      <c r="J24" s="53">
        <f ca="1">ROUND(J16*M24,0)</f>
        <v>0</v>
      </c>
      <c r="K24" s="1962" t="s">
        <v>676</v>
      </c>
      <c r="L24" s="784" t="s">
        <v>648</v>
      </c>
      <c r="M24" s="817">
        <f ca="1">INDIRECT("'数据-取费表'!Ak"&amp;$G$1)</f>
        <v>0</v>
      </c>
    </row>
    <row r="25" spans="1:25" s="2049" customFormat="1" ht="18" customHeight="1">
      <c r="A25" s="803" t="s">
        <v>1874</v>
      </c>
      <c r="B25" s="784" t="s">
        <v>2431</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1.4E-3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2" t="s">
        <v>2815</v>
      </c>
      <c r="J27" s="799">
        <f ca="1">J7-J18</f>
        <v>0</v>
      </c>
      <c r="K27" s="1964" t="s">
        <v>699</v>
      </c>
      <c r="L27" s="1966"/>
      <c r="M27" s="820"/>
    </row>
    <row r="28" spans="1:25" ht="18" customHeight="1">
      <c r="A28" s="803" t="s">
        <v>1874</v>
      </c>
      <c r="B28" s="784" t="s">
        <v>2432</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2816</v>
      </c>
      <c r="C31" s="2508">
        <f ca="1">ROUND((C21+C22+C25+C28)/(1-F23-C26-C29-C30),0)</f>
        <v>0</v>
      </c>
      <c r="D31" s="2509"/>
      <c r="E31" s="2510"/>
      <c r="F31" s="2511"/>
      <c r="G31" s="1579"/>
      <c r="H31" s="823" t="s">
        <v>1871</v>
      </c>
      <c r="I31" s="2963" t="s">
        <v>2817</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ROUND(IF(项目基本情况!B11="自然人",C7*F33,C34+C35+C36),1)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ROUND(C7*F34/1.05,1)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5</v>
      </c>
      <c r="G36" s="2047"/>
      <c r="H36" s="2050"/>
      <c r="I36" s="3562"/>
      <c r="J36" s="2064"/>
      <c r="K36" s="2065"/>
      <c r="L36" s="2064"/>
      <c r="M36" s="2064"/>
    </row>
    <row r="37" spans="1:18" ht="18" customHeight="1">
      <c r="A37" s="815"/>
      <c r="B37" s="793"/>
      <c r="C37" s="69"/>
      <c r="D37" s="816"/>
      <c r="E37" s="784" t="s">
        <v>673</v>
      </c>
      <c r="F37" s="785">
        <f ca="1">INDIRECT("'数据-取费表'!r"&amp;$G$1)</f>
        <v>0</v>
      </c>
      <c r="G37" s="2047"/>
      <c r="H37" s="2050"/>
      <c r="I37" s="3562"/>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1" t="s">
        <v>2949</v>
      </c>
      <c r="F43" s="3072">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89">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3" t="s">
        <v>2952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2337</v>
      </c>
      <c r="J47" s="2343"/>
      <c r="K47" s="2344"/>
      <c r="L47" s="3106" t="str">
        <f ca="1">IF(M48="住宅",0,IF(L49&gt;J52,L61,J61))</f>
        <v>0</v>
      </c>
      <c r="O47" s="2358" t="s">
        <v>2404</v>
      </c>
      <c r="P47" s="1578"/>
      <c r="Q47" s="1589"/>
      <c r="R47" s="1578"/>
    </row>
    <row r="48" spans="1:18" s="2044" customFormat="1" ht="18" customHeight="1" thickBot="1">
      <c r="A48" s="2069"/>
      <c r="C48" s="2072"/>
      <c r="D48" s="2073"/>
      <c r="E48" s="2073"/>
      <c r="F48" s="2074"/>
      <c r="G48" s="2075"/>
      <c r="I48" s="3096" t="s">
        <v>2338</v>
      </c>
      <c r="J48" s="2345"/>
      <c r="K48" s="3103" t="s">
        <v>2343</v>
      </c>
      <c r="L48" s="3107">
        <f ca="1">INDIRECT("'数据-取费表'!d"&amp;$G$1)</f>
        <v>0</v>
      </c>
      <c r="M48" s="3070" t="str">
        <f>IF(ISNUMBER(FIND("住宅",C1)),"住宅","非住宅")</f>
        <v>非住宅</v>
      </c>
      <c r="O48" s="2359" t="s">
        <v>2369</v>
      </c>
      <c r="P48" s="2360" t="s">
        <v>2370</v>
      </c>
      <c r="Q48" s="2361" t="s">
        <v>2371</v>
      </c>
      <c r="R48" s="2360" t="s">
        <v>2372</v>
      </c>
    </row>
    <row r="49" spans="1:18" s="2044" customFormat="1" ht="18" customHeight="1" thickBot="1">
      <c r="A49" s="2069"/>
      <c r="D49" s="2076"/>
      <c r="E49" s="2077"/>
      <c r="F49" s="2074"/>
      <c r="G49" s="2075"/>
      <c r="H49" s="2078"/>
      <c r="I49" s="3075" t="s">
        <v>2339</v>
      </c>
      <c r="J49" s="2346"/>
      <c r="K49" s="3104" t="s">
        <v>2345</v>
      </c>
      <c r="L49" s="1893">
        <f ca="1">INDIRECT("'数据-取费表'!f"&amp;$G$1)</f>
        <v>0</v>
      </c>
      <c r="O49" s="2362" t="s">
        <v>2373</v>
      </c>
      <c r="P49" s="2363" t="s">
        <v>2399</v>
      </c>
      <c r="Q49" s="2364">
        <f ca="1">C41+J31</f>
        <v>0</v>
      </c>
      <c r="R49" s="2363" t="s">
        <v>2374</v>
      </c>
    </row>
    <row r="50" spans="1:18" s="2044" customFormat="1" ht="18" customHeight="1" thickBot="1">
      <c r="A50" s="2069"/>
      <c r="D50" s="2079"/>
      <c r="E50" s="2079"/>
      <c r="F50" s="2073"/>
      <c r="G50" s="2080"/>
      <c r="H50" s="2078"/>
      <c r="I50" s="3075" t="s">
        <v>2340</v>
      </c>
      <c r="J50" s="2347"/>
      <c r="K50" s="3105" t="s">
        <v>2346</v>
      </c>
      <c r="L50" s="2348"/>
      <c r="O50" s="2362" t="s">
        <v>2375</v>
      </c>
      <c r="P50" s="2363" t="s">
        <v>2400</v>
      </c>
      <c r="Q50" s="2364" t="str">
        <f ca="1">J61</f>
        <v>0</v>
      </c>
      <c r="R50" s="2363" t="s">
        <v>2376</v>
      </c>
    </row>
    <row r="51" spans="1:18" s="2044" customFormat="1" ht="18" customHeight="1" thickBot="1">
      <c r="A51" s="2081"/>
      <c r="D51" s="2079"/>
      <c r="E51" s="2079"/>
      <c r="F51" s="2070"/>
      <c r="H51" s="2078"/>
      <c r="I51" s="3075" t="s">
        <v>2341</v>
      </c>
      <c r="J51" s="3100">
        <f>SUMPRODUCT((I64:I66=J48)*(J63:L63=J49)*(J64:L66))</f>
        <v>0</v>
      </c>
      <c r="K51" s="3105" t="s">
        <v>2347</v>
      </c>
      <c r="L51" s="2348"/>
      <c r="O51" s="2365" t="s">
        <v>2377</v>
      </c>
      <c r="P51" s="2363" t="s">
        <v>2401</v>
      </c>
      <c r="Q51" s="2364">
        <f ca="1">C31</f>
        <v>0</v>
      </c>
      <c r="R51" s="2363" t="s">
        <v>2374</v>
      </c>
    </row>
    <row r="52" spans="1:18" s="2044" customFormat="1" ht="18" customHeight="1" thickBot="1">
      <c r="A52" s="2081"/>
      <c r="F52" s="2070"/>
      <c r="I52" s="3097" t="s">
        <v>2342</v>
      </c>
      <c r="J52" s="3101">
        <f>IF(J50="",J51,J50+J51-YEAR('数据-取费表'!B3))</f>
        <v>0</v>
      </c>
      <c r="K52" s="3075" t="s">
        <v>2348</v>
      </c>
      <c r="L52" s="3108">
        <f ca="1">ROUND(-PV(INDIRECT("'数据-取费表'!h"&amp;$G$1),L49,(C40-C14*J36),0),0)</f>
        <v>0</v>
      </c>
      <c r="O52" s="2365" t="s">
        <v>2378</v>
      </c>
      <c r="P52" s="2363" t="s">
        <v>2379</v>
      </c>
      <c r="Q52" s="2366" t="e">
        <f ca="1">J59</f>
        <v>#VALUE!</v>
      </c>
      <c r="R52" s="2367"/>
    </row>
    <row r="53" spans="1:18" s="2044" customFormat="1" ht="18" customHeight="1" thickBot="1">
      <c r="A53" s="2081"/>
      <c r="F53" s="2070"/>
      <c r="I53" s="3098" t="s">
        <v>2415</v>
      </c>
      <c r="J53" s="2349"/>
      <c r="K53" s="3098" t="s">
        <v>2414</v>
      </c>
      <c r="L53" s="2349"/>
      <c r="O53" s="2365" t="s">
        <v>2380</v>
      </c>
      <c r="P53" s="2363" t="s">
        <v>2381</v>
      </c>
      <c r="Q53" s="2366">
        <f>J53</f>
        <v>0</v>
      </c>
      <c r="R53" s="2367"/>
    </row>
    <row r="54" spans="1:18" s="2044" customFormat="1" ht="29.25" thickBot="1">
      <c r="A54" s="2081"/>
      <c r="I54" s="3099" t="s">
        <v>2965</v>
      </c>
      <c r="J54" s="3102">
        <f ca="1">IF(M48="住宅",MAX(J52,L49-'数据-取费表'!B20),MIN(J52,L49-'数据-取费表'!B20))</f>
        <v>-2</v>
      </c>
      <c r="K54" s="3567"/>
      <c r="L54" s="3568"/>
      <c r="O54" s="2365" t="s">
        <v>2382</v>
      </c>
      <c r="P54" s="2363" t="s">
        <v>2383</v>
      </c>
      <c r="Q54" s="2364">
        <f ca="1">J54</f>
        <v>-2</v>
      </c>
      <c r="R54" s="2363" t="s">
        <v>2384</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2385</v>
      </c>
      <c r="P55" s="2363" t="s">
        <v>2402</v>
      </c>
      <c r="Q55" s="2364">
        <f ca="1">Q49+Q50</f>
        <v>0</v>
      </c>
      <c r="R55" s="2367" t="s">
        <v>2386</v>
      </c>
    </row>
    <row r="56" spans="1:18" s="2044" customFormat="1" ht="16.5" thickBot="1">
      <c r="A56" s="2081"/>
      <c r="B56" s="2082"/>
      <c r="C56" s="2082"/>
      <c r="I56" s="3111" t="s">
        <v>2349</v>
      </c>
      <c r="J56" s="3050" t="e">
        <f ca="1">ROUND(IF(J48="钢混",J58/J51,1-(1-2%)*(J51-J58)/J51),3)</f>
        <v>#VALUE!</v>
      </c>
      <c r="K56" s="3112" t="s">
        <v>2350</v>
      </c>
      <c r="L56" s="2350"/>
      <c r="O56" s="2368" t="s">
        <v>2405</v>
      </c>
      <c r="P56" s="1578"/>
      <c r="Q56" s="1589"/>
      <c r="R56" s="1578"/>
    </row>
    <row r="57" spans="1:18" s="2044" customFormat="1" ht="43.5" thickBot="1">
      <c r="A57" s="2081"/>
      <c r="B57" s="2082"/>
      <c r="C57" s="2082"/>
      <c r="I57" s="3113" t="s">
        <v>2351</v>
      </c>
      <c r="J57" s="3123" t="s">
        <v>1677</v>
      </c>
      <c r="K57" s="3075" t="s">
        <v>2356</v>
      </c>
      <c r="L57" s="1893">
        <f ca="1">IF(L49&lt;J52,"——",L49-J52)</f>
        <v>0</v>
      </c>
      <c r="O57" s="2359" t="s">
        <v>2369</v>
      </c>
      <c r="P57" s="2360" t="s">
        <v>2370</v>
      </c>
      <c r="Q57" s="2361" t="s">
        <v>2371</v>
      </c>
      <c r="R57" s="2360" t="s">
        <v>2372</v>
      </c>
    </row>
    <row r="58" spans="1:18" s="2044" customFormat="1" ht="29.25" thickBot="1">
      <c r="A58" s="2081"/>
      <c r="B58" s="2082"/>
      <c r="C58" s="2082"/>
      <c r="I58" s="3114" t="s">
        <v>2352</v>
      </c>
      <c r="J58" s="3115" t="str">
        <f ca="1">IF(OR(M48="住宅",J52&lt;L49,J57="是"),"——",J52-L49)</f>
        <v>——</v>
      </c>
      <c r="K58" s="3075" t="s">
        <v>2357</v>
      </c>
      <c r="L58" s="1893">
        <f ca="1">IF(L49&lt;J52,"——",IF(L56="比较法",L50,IF(L56="基准地价",L51,L52)))</f>
        <v>0</v>
      </c>
      <c r="O58" s="2362" t="s">
        <v>2373</v>
      </c>
      <c r="P58" s="2363" t="s">
        <v>2399</v>
      </c>
      <c r="Q58" s="2364">
        <f ca="1">C41+J31</f>
        <v>0</v>
      </c>
      <c r="R58" s="2363" t="s">
        <v>2374</v>
      </c>
    </row>
    <row r="59" spans="1:18" s="2044" customFormat="1" ht="29.25" thickBot="1">
      <c r="A59" s="2081"/>
      <c r="B59" s="2082"/>
      <c r="C59" s="2082"/>
      <c r="I59" s="3114" t="s">
        <v>2353</v>
      </c>
      <c r="J59" s="3051" t="e">
        <f ca="1">IF(J56&lt;0.4,0.4,J56)</f>
        <v>#VALUE!</v>
      </c>
      <c r="K59" s="3075" t="s">
        <v>2358</v>
      </c>
      <c r="L59" s="1893">
        <f ca="1">IF(ISERROR(POWER(1+L53,L48-L49)*(POWER(1+L53,L49)-1)/(POWER(1+L53,L48)-1)),0,POWER(1+L53,L48-L49)*(POWER(1+L53,L49)-1)/(POWER(1+L53,L48)-1))</f>
        <v>0</v>
      </c>
      <c r="O59" s="2362" t="s">
        <v>2375</v>
      </c>
      <c r="P59" s="2363" t="s">
        <v>2406</v>
      </c>
      <c r="Q59" s="2364" t="e">
        <f ca="1">L61</f>
        <v>#DIV/0!</v>
      </c>
      <c r="R59" s="2367" t="s">
        <v>2408</v>
      </c>
    </row>
    <row r="60" spans="1:18" s="2044" customFormat="1" ht="29.25" thickBot="1">
      <c r="A60" s="2081"/>
      <c r="B60" s="2082"/>
      <c r="C60" s="2082"/>
      <c r="I60" s="3114" t="s">
        <v>2354</v>
      </c>
      <c r="J60" s="3115" t="str">
        <f ca="1">IF(OR(M48="住宅",J52&lt;L49,J57="是"),"——",ROUND(C30*J59,0))</f>
        <v>——</v>
      </c>
      <c r="K60" s="3075" t="s">
        <v>2359</v>
      </c>
      <c r="L60" s="1893">
        <f ca="1">IF(ISERROR(POWER(1+L53,L48-J52)*(POWER(1+L53,J52)-1)/(POWER(1+L53,L48)-1)),0,POWER(1+L53,L48-J52)*(POWER(1+L53,J52)-1)/(POWER(1+L53,L48)-1))</f>
        <v>0</v>
      </c>
      <c r="O60" s="2365" t="s">
        <v>2377</v>
      </c>
      <c r="P60" s="2363" t="s">
        <v>2407</v>
      </c>
      <c r="Q60" s="2364">
        <f>IF(L56="比较法",L50,IF(L56="基准地价",L51,0))</f>
        <v>0</v>
      </c>
      <c r="R60" s="2363" t="s">
        <v>2374</v>
      </c>
    </row>
    <row r="61" spans="1:18" s="2044" customFormat="1" ht="15.75" thickBot="1">
      <c r="A61" s="2081"/>
      <c r="B61" s="2082"/>
      <c r="C61" s="2082"/>
      <c r="I61" s="3116" t="s">
        <v>2355</v>
      </c>
      <c r="J61" s="3117" t="str">
        <f ca="1">IF(OR(M48="住宅",J52&lt;L49,J57="是"),"0",ROUND(J60/(1+J53)^J54,0))</f>
        <v>0</v>
      </c>
      <c r="K61" s="3118" t="s">
        <v>2360</v>
      </c>
      <c r="L61" s="3117" t="e">
        <f ca="1">IF(OR(M48="住宅",L49&lt;J52),0,ROUND(L58*(L59/L60-1),0))</f>
        <v>#DIV/0!</v>
      </c>
      <c r="O61" s="2365" t="s">
        <v>2378</v>
      </c>
      <c r="P61" s="2363" t="s">
        <v>2387</v>
      </c>
      <c r="Q61" s="2366">
        <f>L53</f>
        <v>0</v>
      </c>
      <c r="R61" s="2367"/>
    </row>
    <row r="62" spans="1:18" s="2044" customFormat="1" ht="20.25" thickBot="1">
      <c r="A62" s="2081"/>
      <c r="B62" s="2082"/>
      <c r="C62" s="2082"/>
      <c r="K62" s="2071"/>
      <c r="O62" s="2365" t="s">
        <v>2380</v>
      </c>
      <c r="P62" s="2363" t="s">
        <v>2388</v>
      </c>
      <c r="Q62" s="2364">
        <f ca="1">L59</f>
        <v>0</v>
      </c>
      <c r="R62" s="2367" t="s">
        <v>2389</v>
      </c>
    </row>
    <row r="63" spans="1:18" s="2044" customFormat="1" ht="20.25" thickBot="1">
      <c r="A63" s="2081"/>
      <c r="B63" s="2082"/>
      <c r="C63" s="2082"/>
      <c r="I63" s="3119" t="s">
        <v>2361</v>
      </c>
      <c r="J63" s="3120" t="s">
        <v>2362</v>
      </c>
      <c r="K63" s="3120" t="s">
        <v>2363</v>
      </c>
      <c r="L63" s="3120" t="s">
        <v>2344</v>
      </c>
      <c r="M63" s="3121" t="s">
        <v>2929</v>
      </c>
      <c r="O63" s="2365" t="s">
        <v>2382</v>
      </c>
      <c r="P63" s="2363" t="s">
        <v>2390</v>
      </c>
      <c r="Q63" s="2364">
        <f ca="1">L60</f>
        <v>0</v>
      </c>
      <c r="R63" s="2367" t="s">
        <v>2391</v>
      </c>
    </row>
    <row r="64" spans="1:18" s="2044" customFormat="1" ht="15.75" thickBot="1">
      <c r="A64" s="2081"/>
      <c r="B64" s="2082"/>
      <c r="C64" s="2082"/>
      <c r="I64" s="3119" t="s">
        <v>2364</v>
      </c>
      <c r="J64" s="3120">
        <v>70</v>
      </c>
      <c r="K64" s="3120">
        <v>50</v>
      </c>
      <c r="L64" s="3120">
        <v>80</v>
      </c>
      <c r="M64" s="3122">
        <v>0.02</v>
      </c>
      <c r="O64" s="2362" t="s">
        <v>2385</v>
      </c>
      <c r="P64" s="2363" t="s">
        <v>2402</v>
      </c>
      <c r="Q64" s="2364" t="e">
        <f ca="1">Q58+Q59</f>
        <v>#DIV/0!</v>
      </c>
      <c r="R64" s="2367" t="s">
        <v>2386</v>
      </c>
    </row>
    <row r="65" spans="1:18" s="2044" customFormat="1" ht="16.5" thickBot="1">
      <c r="A65" s="2081"/>
      <c r="B65" s="2082"/>
      <c r="C65" s="2082"/>
      <c r="I65" s="3119" t="s">
        <v>2365</v>
      </c>
      <c r="J65" s="3120">
        <v>50</v>
      </c>
      <c r="K65" s="3120">
        <v>35</v>
      </c>
      <c r="L65" s="3120">
        <v>60</v>
      </c>
      <c r="M65" s="846">
        <v>0</v>
      </c>
      <c r="O65" s="2368" t="s">
        <v>2409</v>
      </c>
      <c r="P65" s="1578"/>
      <c r="Q65" s="1589"/>
      <c r="R65" s="1578"/>
    </row>
    <row r="66" spans="1:18" s="2044" customFormat="1" ht="15.75" thickBot="1">
      <c r="A66" s="2081"/>
      <c r="B66" s="2082"/>
      <c r="C66" s="2082"/>
      <c r="I66" s="3119" t="s">
        <v>2366</v>
      </c>
      <c r="J66" s="3120">
        <v>40</v>
      </c>
      <c r="K66" s="3120">
        <v>30</v>
      </c>
      <c r="L66" s="3120">
        <v>50</v>
      </c>
      <c r="M66" s="3122">
        <v>0.02</v>
      </c>
      <c r="O66" s="2359" t="s">
        <v>2369</v>
      </c>
      <c r="P66" s="2360" t="s">
        <v>2370</v>
      </c>
      <c r="Q66" s="2361" t="s">
        <v>2371</v>
      </c>
      <c r="R66" s="2360" t="s">
        <v>2372</v>
      </c>
    </row>
    <row r="67" spans="1:18" s="2044" customFormat="1" ht="15.75" thickBot="1">
      <c r="A67" s="2081"/>
      <c r="B67" s="2082"/>
      <c r="C67" s="2082"/>
      <c r="K67" s="2071"/>
      <c r="O67" s="2362" t="s">
        <v>2373</v>
      </c>
      <c r="P67" s="2363" t="s">
        <v>2399</v>
      </c>
      <c r="Q67" s="2364">
        <f ca="1">C41+J31</f>
        <v>0</v>
      </c>
      <c r="R67" s="2363" t="s">
        <v>2374</v>
      </c>
    </row>
    <row r="68" spans="1:18" s="2044" customFormat="1" ht="20.25" thickBot="1">
      <c r="A68" s="2081"/>
      <c r="B68" s="2082"/>
      <c r="C68" s="2082"/>
      <c r="K68" s="2071"/>
      <c r="O68" s="2362" t="s">
        <v>2375</v>
      </c>
      <c r="P68" s="2363" t="s">
        <v>2406</v>
      </c>
      <c r="Q68" s="2364" t="e">
        <f ca="1">L61</f>
        <v>#DIV/0!</v>
      </c>
      <c r="R68" s="2367" t="s">
        <v>2408</v>
      </c>
    </row>
    <row r="69" spans="1:18" s="2044" customFormat="1" ht="21.75" thickBot="1">
      <c r="A69" s="2081"/>
      <c r="B69" s="2082"/>
      <c r="C69" s="2082"/>
      <c r="K69" s="2071"/>
      <c r="O69" s="2365" t="s">
        <v>2377</v>
      </c>
      <c r="P69" s="2363" t="s">
        <v>2407</v>
      </c>
      <c r="Q69" s="2369">
        <f ca="1">L52</f>
        <v>0</v>
      </c>
      <c r="R69" s="2370" t="s">
        <v>2410</v>
      </c>
    </row>
    <row r="70" spans="1:18" s="2044" customFormat="1" ht="20.25" thickBot="1">
      <c r="A70" s="2081"/>
      <c r="B70" s="2082"/>
      <c r="C70" s="2082"/>
      <c r="K70" s="2071"/>
      <c r="O70" s="2365" t="s">
        <v>2378</v>
      </c>
      <c r="P70" s="2371" t="s">
        <v>2392</v>
      </c>
      <c r="Q70" s="2364">
        <f ca="1">ROUND(Q71-Q72*Q73,0)</f>
        <v>0</v>
      </c>
      <c r="R70" s="2367"/>
    </row>
    <row r="71" spans="1:18" s="2044" customFormat="1" ht="15.75" thickBot="1">
      <c r="A71" s="2081"/>
      <c r="B71" s="2082"/>
      <c r="C71" s="2082"/>
      <c r="K71" s="2071"/>
      <c r="O71" s="2365" t="s">
        <v>2393</v>
      </c>
      <c r="P71" s="2371" t="s">
        <v>2394</v>
      </c>
      <c r="Q71" s="2364">
        <f ca="1">C42</f>
        <v>0</v>
      </c>
      <c r="R71" s="2363" t="s">
        <v>2374</v>
      </c>
    </row>
    <row r="72" spans="1:18" s="2044" customFormat="1" ht="15.75" thickBot="1">
      <c r="A72" s="2081"/>
      <c r="B72" s="2082"/>
      <c r="C72" s="2082"/>
      <c r="K72" s="2071"/>
      <c r="O72" s="2365" t="s">
        <v>2395</v>
      </c>
      <c r="P72" s="2371" t="s">
        <v>2396</v>
      </c>
      <c r="Q72" s="2364">
        <f ca="1">C15</f>
        <v>0</v>
      </c>
      <c r="R72" s="2363" t="s">
        <v>2374</v>
      </c>
    </row>
    <row r="73" spans="1:18" s="2044" customFormat="1" ht="15.75" thickBot="1">
      <c r="A73" s="2081"/>
      <c r="B73" s="2082"/>
      <c r="C73" s="2082"/>
      <c r="K73" s="2071"/>
      <c r="O73" s="2365" t="s">
        <v>2397</v>
      </c>
      <c r="P73" s="2371" t="s">
        <v>2398</v>
      </c>
      <c r="Q73" s="2366">
        <f ca="1">F43</f>
        <v>0</v>
      </c>
      <c r="R73" s="2367"/>
    </row>
    <row r="74" spans="1:18" s="2044" customFormat="1" ht="15.75" thickBot="1">
      <c r="A74" s="2081"/>
      <c r="B74" s="2082"/>
      <c r="C74" s="2082"/>
      <c r="K74" s="2071"/>
      <c r="O74" s="2365" t="s">
        <v>2380</v>
      </c>
      <c r="P74" s="2363" t="s">
        <v>2387</v>
      </c>
      <c r="Q74" s="2366">
        <f>L53</f>
        <v>0</v>
      </c>
      <c r="R74" s="2367"/>
    </row>
    <row r="75" spans="1:18" s="2044" customFormat="1" ht="20.25" thickBot="1">
      <c r="A75" s="2081"/>
      <c r="B75" s="2082"/>
      <c r="C75" s="2082"/>
      <c r="K75" s="2071"/>
      <c r="O75" s="2365" t="s">
        <v>2382</v>
      </c>
      <c r="P75" s="2363" t="s">
        <v>2388</v>
      </c>
      <c r="Q75" s="2364">
        <f ca="1">L59</f>
        <v>0</v>
      </c>
      <c r="R75" s="2367" t="s">
        <v>2389</v>
      </c>
    </row>
    <row r="76" spans="1:18" s="2044" customFormat="1" ht="20.25" thickBot="1">
      <c r="A76" s="2081"/>
      <c r="B76" s="2082"/>
      <c r="C76" s="2082"/>
      <c r="K76" s="2071"/>
      <c r="O76" s="2365" t="s">
        <v>2411</v>
      </c>
      <c r="P76" s="2363" t="s">
        <v>2390</v>
      </c>
      <c r="Q76" s="2364">
        <f ca="1">L60</f>
        <v>0</v>
      </c>
      <c r="R76" s="2367" t="s">
        <v>2391</v>
      </c>
    </row>
    <row r="77" spans="1:18" s="2044" customFormat="1" ht="15.75" thickBot="1">
      <c r="A77" s="2081"/>
      <c r="B77" s="2082"/>
      <c r="C77" s="2082"/>
      <c r="K77" s="2071"/>
      <c r="O77" s="2362" t="s">
        <v>2385</v>
      </c>
      <c r="P77" s="2363" t="s">
        <v>2402</v>
      </c>
      <c r="Q77" s="2364" t="e">
        <f ca="1">Q67+Q68</f>
        <v>#DIV/0!</v>
      </c>
      <c r="R77" s="2367" t="s">
        <v>2386</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3" sqref="I5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7" t="s">
        <v>718</v>
      </c>
      <c r="C1" s="2588" t="s">
        <v>719</v>
      </c>
      <c r="D1" s="2589" t="s">
        <v>922</v>
      </c>
      <c r="E1" s="2590"/>
      <c r="F1" s="2762" t="s">
        <v>3463</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634739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30862</v>
      </c>
      <c r="C3" s="852" t="s">
        <v>721</v>
      </c>
      <c r="D3" s="851">
        <f>SUMIF('数据-汇总表'!$C19:$C33,D1,'数据-汇总表'!$E19:$E33)</f>
        <v>205670.1</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482" t="s">
        <v>521</v>
      </c>
      <c r="D4" s="3483"/>
      <c r="E4" s="3516" t="s">
        <v>522</v>
      </c>
      <c r="F4" s="3517"/>
      <c r="G4" s="3482" t="s">
        <v>523</v>
      </c>
      <c r="H4" s="3483"/>
      <c r="I4" s="3482" t="s">
        <v>524</v>
      </c>
      <c r="J4" s="3483"/>
      <c r="K4" s="853" t="s">
        <v>525</v>
      </c>
      <c r="L4" s="2118"/>
      <c r="M4" s="2119"/>
      <c r="N4" s="2119"/>
      <c r="O4" s="2119"/>
      <c r="P4" s="3484" t="s">
        <v>526</v>
      </c>
      <c r="Q4" s="3485"/>
      <c r="R4" s="3490" t="s">
        <v>522</v>
      </c>
      <c r="S4" s="3491"/>
      <c r="T4" s="3490" t="s">
        <v>523</v>
      </c>
      <c r="U4" s="3491"/>
      <c r="V4" s="3477" t="s">
        <v>524</v>
      </c>
      <c r="W4" s="3477"/>
      <c r="X4" s="1553"/>
      <c r="Y4" s="3490" t="s">
        <v>526</v>
      </c>
      <c r="Z4" s="3491"/>
      <c r="AA4" s="3479" t="s">
        <v>522</v>
      </c>
      <c r="AB4" s="3479" t="s">
        <v>523</v>
      </c>
      <c r="AC4" s="3479" t="s">
        <v>524</v>
      </c>
    </row>
    <row r="5" spans="1:29" ht="15">
      <c r="A5" s="515"/>
      <c r="B5" s="516"/>
      <c r="C5" s="3498" t="s">
        <v>2916</v>
      </c>
      <c r="D5" s="3499"/>
      <c r="E5" s="3573" t="s">
        <v>3477</v>
      </c>
      <c r="F5" s="3519"/>
      <c r="G5" s="3572" t="s">
        <v>3495</v>
      </c>
      <c r="H5" s="3499"/>
      <c r="I5" s="3572" t="s">
        <v>3494</v>
      </c>
      <c r="J5" s="3499"/>
      <c r="K5" s="85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85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v>43617</v>
      </c>
      <c r="F7" s="522">
        <f>SUMIF(58:58,YEAR(E7)&amp;"-"&amp;MONTH(E7),59:59)</f>
        <v>100</v>
      </c>
      <c r="G7" s="521">
        <v>43617</v>
      </c>
      <c r="H7" s="520">
        <f>SUMIF(58:58,YEAR(G7)&amp;"-"&amp;MONTH(G7),59:59)</f>
        <v>100</v>
      </c>
      <c r="I7" s="521">
        <v>43617</v>
      </c>
      <c r="J7" s="520">
        <f>SUMIF(58:58,YEAR(I7)&amp;"-"&amp;MONTH(I7),59:59)</f>
        <v>100</v>
      </c>
      <c r="K7" s="855"/>
      <c r="L7" s="2120"/>
      <c r="M7" s="2121"/>
      <c r="N7" s="2121"/>
      <c r="O7" s="2121"/>
      <c r="P7" s="3507" t="s">
        <v>529</v>
      </c>
      <c r="Q7" s="3509"/>
      <c r="R7" s="1554" t="s">
        <v>13</v>
      </c>
      <c r="S7" s="1555">
        <f t="shared" ref="S7:S15" si="0">F7</f>
        <v>100</v>
      </c>
      <c r="T7" s="1554" t="s">
        <v>13</v>
      </c>
      <c r="U7" s="1555">
        <f t="shared" ref="U7:U15" si="1">H7</f>
        <v>100</v>
      </c>
      <c r="V7" s="1554" t="s">
        <v>13</v>
      </c>
      <c r="W7" s="1555">
        <f t="shared" ref="W7:W15" si="2">J7</f>
        <v>100</v>
      </c>
      <c r="X7" s="1556"/>
      <c r="Y7" s="3507" t="s">
        <v>529</v>
      </c>
      <c r="Z7" s="3508"/>
      <c r="AA7" s="1557">
        <f>D7/F7</f>
        <v>1</v>
      </c>
      <c r="AB7" s="1557">
        <f>D7/H7</f>
        <v>1</v>
      </c>
      <c r="AC7" s="1557">
        <f>D7/J7</f>
        <v>1</v>
      </c>
    </row>
    <row r="8" spans="1:29" s="1215" customFormat="1" ht="15.75" thickBot="1">
      <c r="A8" s="2867"/>
      <c r="B8" s="2874"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507" t="s">
        <v>532</v>
      </c>
      <c r="Q8" s="3508"/>
      <c r="R8" s="1554" t="s">
        <v>13</v>
      </c>
      <c r="S8" s="1555">
        <f t="shared" si="0"/>
        <v>100</v>
      </c>
      <c r="T8" s="1554" t="s">
        <v>13</v>
      </c>
      <c r="U8" s="1555">
        <f t="shared" si="1"/>
        <v>100</v>
      </c>
      <c r="V8" s="1554" t="s">
        <v>13</v>
      </c>
      <c r="W8" s="1555">
        <f t="shared" si="2"/>
        <v>100</v>
      </c>
      <c r="X8" s="1556"/>
      <c r="Y8" s="3507" t="s">
        <v>532</v>
      </c>
      <c r="Z8" s="3508"/>
      <c r="AA8" s="1557">
        <f t="shared" ref="AA8:AA46" si="3">D8/F8</f>
        <v>1</v>
      </c>
      <c r="AB8" s="1557">
        <f t="shared" ref="AB8:AB46" si="4">D8/H8</f>
        <v>1</v>
      </c>
      <c r="AC8" s="1557">
        <f t="shared" ref="AC8:AC46" si="5">D8/J8</f>
        <v>1</v>
      </c>
    </row>
    <row r="9" spans="1:29" s="1215" customFormat="1" ht="15">
      <c r="A9" s="2868"/>
      <c r="B9" s="2875" t="s">
        <v>2749</v>
      </c>
      <c r="C9" s="3192" t="s">
        <v>3478</v>
      </c>
      <c r="D9" s="254">
        <v>100</v>
      </c>
      <c r="E9" s="858" t="s">
        <v>922</v>
      </c>
      <c r="F9" s="859">
        <f>SUMIF(63:63,E9,64:64)-SUMIF(63:63,C9,64:64)+100</f>
        <v>100</v>
      </c>
      <c r="G9" s="858" t="s">
        <v>922</v>
      </c>
      <c r="H9" s="254">
        <f>SUMIF(63:63,G9,64:64)-SUMIF(63:63,C9,64:64)+100</f>
        <v>100</v>
      </c>
      <c r="I9" s="858" t="s">
        <v>922</v>
      </c>
      <c r="J9" s="254">
        <f>SUMIF(63:63,I9,64:64)-SUMIF(63:63,C9,64:64)+100</f>
        <v>100</v>
      </c>
      <c r="K9" s="855"/>
      <c r="L9" s="2120"/>
      <c r="M9" s="2121"/>
      <c r="N9" s="2121"/>
      <c r="O9" s="2122"/>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75" thickBot="1">
      <c r="A10" s="2869"/>
      <c r="B10" s="2874" t="s">
        <v>2750</v>
      </c>
      <c r="C10" s="861" t="s">
        <v>3479</v>
      </c>
      <c r="D10" s="255">
        <v>100</v>
      </c>
      <c r="E10" s="861" t="s">
        <v>3479</v>
      </c>
      <c r="F10" s="863">
        <f>SUMIF(65:65,E10,66:66)-SUMIF(65:65,C10,66:66)+100</f>
        <v>100</v>
      </c>
      <c r="G10" s="861" t="s">
        <v>3479</v>
      </c>
      <c r="H10" s="255">
        <f>SUMIF(65:65,G10,66:66)-SUMIF(65:65,C10,66:66)+100</f>
        <v>100</v>
      </c>
      <c r="I10" s="861" t="s">
        <v>3479</v>
      </c>
      <c r="J10" s="255">
        <f>SUMIF(65:65,I10,66:66)-SUMIF(65:65,C10,66:66)+100</f>
        <v>100</v>
      </c>
      <c r="K10" s="864">
        <v>2</v>
      </c>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75" hidden="1" thickBot="1">
      <c r="A11" s="2870"/>
      <c r="B11" s="2874" t="s">
        <v>2751</v>
      </c>
      <c r="C11" s="533"/>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476"/>
      <c r="Q11" s="1146" t="str">
        <f t="shared" si="6"/>
        <v>容积率</v>
      </c>
      <c r="R11" s="1554" t="s">
        <v>11</v>
      </c>
      <c r="S11" s="1555">
        <f t="shared" si="0"/>
        <v>100</v>
      </c>
      <c r="T11" s="1554" t="s">
        <v>11</v>
      </c>
      <c r="U11" s="1555">
        <f t="shared" si="1"/>
        <v>100</v>
      </c>
      <c r="V11" s="1554" t="s">
        <v>11</v>
      </c>
      <c r="W11" s="1555">
        <f t="shared" si="2"/>
        <v>100</v>
      </c>
      <c r="X11" s="1556"/>
      <c r="Y11" s="3398"/>
      <c r="Z11" s="1145" t="str">
        <f t="shared" si="7"/>
        <v>容积率</v>
      </c>
      <c r="AA11" s="1557">
        <f t="shared" si="3"/>
        <v>1</v>
      </c>
      <c r="AB11" s="1557">
        <f t="shared" si="4"/>
        <v>1</v>
      </c>
      <c r="AC11" s="1557">
        <f t="shared" si="5"/>
        <v>1</v>
      </c>
    </row>
    <row r="12" spans="1:29" s="1215"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76"/>
      <c r="Q12" s="1146">
        <f t="shared" si="6"/>
        <v>111</v>
      </c>
      <c r="R12" s="1554" t="s">
        <v>11</v>
      </c>
      <c r="S12" s="1555">
        <f t="shared" si="0"/>
        <v>100</v>
      </c>
      <c r="T12" s="1554" t="s">
        <v>11</v>
      </c>
      <c r="U12" s="1555">
        <f t="shared" si="1"/>
        <v>100</v>
      </c>
      <c r="V12" s="1554" t="s">
        <v>11</v>
      </c>
      <c r="W12" s="1555">
        <f t="shared" si="2"/>
        <v>100</v>
      </c>
      <c r="X12" s="1556"/>
      <c r="Y12" s="3398"/>
      <c r="Z12" s="1145">
        <f t="shared" si="7"/>
        <v>111</v>
      </c>
      <c r="AA12" s="1557">
        <f>D12/F12</f>
        <v>1</v>
      </c>
      <c r="AB12" s="1557">
        <f>D12/H12</f>
        <v>1</v>
      </c>
      <c r="AC12" s="1557">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76"/>
      <c r="Q13" s="1146">
        <f t="shared" si="6"/>
        <v>111</v>
      </c>
      <c r="R13" s="1554" t="s">
        <v>11</v>
      </c>
      <c r="S13" s="1555">
        <f t="shared" si="0"/>
        <v>100</v>
      </c>
      <c r="T13" s="1554" t="s">
        <v>11</v>
      </c>
      <c r="U13" s="1555">
        <f t="shared" si="1"/>
        <v>100</v>
      </c>
      <c r="V13" s="1554" t="s">
        <v>11</v>
      </c>
      <c r="W13" s="1555">
        <f t="shared" si="2"/>
        <v>100</v>
      </c>
      <c r="X13" s="1556"/>
      <c r="Y13" s="3398"/>
      <c r="Z13" s="1145">
        <f t="shared" si="7"/>
        <v>111</v>
      </c>
      <c r="AA13" s="1557">
        <f t="shared" si="3"/>
        <v>1</v>
      </c>
      <c r="AB13" s="1557">
        <f t="shared" si="4"/>
        <v>1</v>
      </c>
      <c r="AC13" s="1557">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76"/>
      <c r="Q14" s="1146">
        <f t="shared" si="6"/>
        <v>111</v>
      </c>
      <c r="R14" s="1554" t="s">
        <v>11</v>
      </c>
      <c r="S14" s="1555">
        <f t="shared" si="0"/>
        <v>100</v>
      </c>
      <c r="T14" s="1554" t="s">
        <v>11</v>
      </c>
      <c r="U14" s="1555">
        <f t="shared" si="1"/>
        <v>100</v>
      </c>
      <c r="V14" s="1554" t="s">
        <v>11</v>
      </c>
      <c r="W14" s="1555">
        <f t="shared" si="2"/>
        <v>100</v>
      </c>
      <c r="X14" s="1556"/>
      <c r="Y14" s="3398"/>
      <c r="Z14" s="1145">
        <f t="shared" si="7"/>
        <v>111</v>
      </c>
      <c r="AA14" s="1557">
        <f t="shared" si="3"/>
        <v>1</v>
      </c>
      <c r="AB14" s="1557">
        <f t="shared" si="4"/>
        <v>1</v>
      </c>
      <c r="AC14" s="1557">
        <f t="shared" si="5"/>
        <v>1</v>
      </c>
    </row>
    <row r="15" spans="1:29" ht="15">
      <c r="A15" s="2864" t="s">
        <v>2747</v>
      </c>
      <c r="B15" s="166" t="s">
        <v>295</v>
      </c>
      <c r="C15" s="867" t="str">
        <f>估价对象房地状况!C3</f>
        <v>较好</v>
      </c>
      <c r="D15" s="549">
        <v>100</v>
      </c>
      <c r="E15" s="3273" t="s">
        <v>3573</v>
      </c>
      <c r="F15" s="551">
        <f>SUMIF(76:76,E16,77:77)-SUMIF(76:76,C16,77:77)+100</f>
        <v>100</v>
      </c>
      <c r="G15" s="3273" t="s">
        <v>3573</v>
      </c>
      <c r="H15" s="549">
        <f>SUMIF(76:76,G16,77:77)-SUMIF(76:76,C16,77:77)+100</f>
        <v>100</v>
      </c>
      <c r="I15" s="3273" t="s">
        <v>3573</v>
      </c>
      <c r="J15" s="549">
        <f>SUMIF(76:76,I16,77:77)-SUMIF(76:76,C16,77:77)+100</f>
        <v>100</v>
      </c>
      <c r="K15" s="868">
        <f>'比较法-住宅、综合'!K17</f>
        <v>2</v>
      </c>
      <c r="L15" s="2127"/>
      <c r="M15" s="2119"/>
      <c r="N15" s="2119"/>
      <c r="O15" s="2126"/>
      <c r="P15" s="3510" t="s">
        <v>539</v>
      </c>
      <c r="Q15" s="1558" t="str">
        <f t="shared" si="6"/>
        <v>居住社区成熟度</v>
      </c>
      <c r="R15" s="1559" t="s">
        <v>11</v>
      </c>
      <c r="S15" s="1560">
        <f t="shared" si="0"/>
        <v>100</v>
      </c>
      <c r="T15" s="1559" t="s">
        <v>11</v>
      </c>
      <c r="U15" s="1560">
        <f t="shared" si="1"/>
        <v>100</v>
      </c>
      <c r="V15" s="1559" t="s">
        <v>11</v>
      </c>
      <c r="W15" s="1560">
        <f t="shared" si="2"/>
        <v>100</v>
      </c>
      <c r="X15" s="1553"/>
      <c r="Y15" s="3510" t="s">
        <v>539</v>
      </c>
      <c r="Z15" s="1561" t="str">
        <f t="shared" si="7"/>
        <v>居住社区成熟度</v>
      </c>
      <c r="AA15" s="1562">
        <f t="shared" si="3"/>
        <v>1</v>
      </c>
      <c r="AB15" s="1562">
        <f t="shared" si="4"/>
        <v>1</v>
      </c>
      <c r="AC15" s="1562">
        <f t="shared" si="5"/>
        <v>1</v>
      </c>
    </row>
    <row r="16" spans="1:29" ht="15.75" thickBot="1">
      <c r="A16" s="532"/>
      <c r="B16" s="869"/>
      <c r="C16" s="576" t="s">
        <v>3378</v>
      </c>
      <c r="D16" s="555"/>
      <c r="E16" s="576" t="s">
        <v>3378</v>
      </c>
      <c r="F16" s="557"/>
      <c r="G16" s="576" t="s">
        <v>3378</v>
      </c>
      <c r="H16" s="559"/>
      <c r="I16" s="576" t="s">
        <v>3378</v>
      </c>
      <c r="J16" s="555"/>
      <c r="K16" s="870"/>
      <c r="L16" s="2127"/>
      <c r="M16" s="2119"/>
      <c r="N16" s="2119"/>
      <c r="O16" s="2126"/>
      <c r="P16" s="3511"/>
      <c r="Q16" s="1558"/>
      <c r="R16" s="1559"/>
      <c r="S16" s="1560"/>
      <c r="T16" s="1559"/>
      <c r="U16" s="1560"/>
      <c r="V16" s="1559"/>
      <c r="W16" s="1560"/>
      <c r="X16" s="1553"/>
      <c r="Y16" s="3511"/>
      <c r="Z16" s="1561"/>
      <c r="AA16" s="1562">
        <v>1</v>
      </c>
      <c r="AB16" s="1562">
        <v>1</v>
      </c>
      <c r="AC16" s="1562">
        <v>1</v>
      </c>
    </row>
    <row r="17" spans="1:29" ht="24.75" customHeight="1">
      <c r="A17" s="532"/>
      <c r="B17" s="871" t="s">
        <v>296</v>
      </c>
      <c r="C17" s="872" t="str">
        <f>估价对象房地状况!C6</f>
        <v>较好</v>
      </c>
      <c r="D17" s="559">
        <v>100</v>
      </c>
      <c r="E17" s="3273" t="s">
        <v>3573</v>
      </c>
      <c r="F17" s="563">
        <f>SUMIF(78:78,E18,79:79)-SUMIF(78:78,C18,79:79)+100</f>
        <v>100</v>
      </c>
      <c r="G17" s="3273" t="s">
        <v>3573</v>
      </c>
      <c r="H17" s="565">
        <f>SUMIF(78:78,G18,79:79)-SUMIF(78:78,C18,79:79)+100</f>
        <v>100</v>
      </c>
      <c r="I17" s="3273" t="s">
        <v>3573</v>
      </c>
      <c r="J17" s="565">
        <f>SUMIF(78:78,I18,79:79)-SUMIF(78:78,C18,79:79)+100</f>
        <v>100</v>
      </c>
      <c r="K17" s="868">
        <f>'比较法-住宅、综合'!K23</f>
        <v>2</v>
      </c>
      <c r="L17" s="2127"/>
      <c r="M17" s="2119"/>
      <c r="N17" s="2119"/>
      <c r="O17" s="2126"/>
      <c r="P17" s="3511"/>
      <c r="Q17" s="1558" t="str">
        <f>B17</f>
        <v>交通便捷度</v>
      </c>
      <c r="R17" s="1559" t="s">
        <v>11</v>
      </c>
      <c r="S17" s="1560">
        <f>F17</f>
        <v>100</v>
      </c>
      <c r="T17" s="1559" t="s">
        <v>11</v>
      </c>
      <c r="U17" s="1560">
        <f>H17</f>
        <v>100</v>
      </c>
      <c r="V17" s="1559" t="s">
        <v>11</v>
      </c>
      <c r="W17" s="1560">
        <f>J17</f>
        <v>100</v>
      </c>
      <c r="X17" s="1553"/>
      <c r="Y17" s="3511"/>
      <c r="Z17" s="1561" t="str">
        <f>Q17</f>
        <v>交通便捷度</v>
      </c>
      <c r="AA17" s="1562">
        <f t="shared" si="3"/>
        <v>1</v>
      </c>
      <c r="AB17" s="1562">
        <f t="shared" si="4"/>
        <v>1</v>
      </c>
      <c r="AC17" s="1562">
        <f t="shared" si="5"/>
        <v>1</v>
      </c>
    </row>
    <row r="18" spans="1:29" ht="15.75" thickBot="1">
      <c r="A18" s="532"/>
      <c r="B18" s="595"/>
      <c r="C18" s="873" t="s">
        <v>3378</v>
      </c>
      <c r="D18" s="559"/>
      <c r="E18" s="873" t="s">
        <v>3378</v>
      </c>
      <c r="F18" s="563"/>
      <c r="G18" s="873" t="s">
        <v>3378</v>
      </c>
      <c r="H18" s="555"/>
      <c r="I18" s="873" t="s">
        <v>3378</v>
      </c>
      <c r="J18" s="555"/>
      <c r="K18" s="870"/>
      <c r="L18" s="2127"/>
      <c r="M18" s="2119"/>
      <c r="N18" s="2119"/>
      <c r="O18" s="2126"/>
      <c r="P18" s="3511"/>
      <c r="Q18" s="1558"/>
      <c r="R18" s="1559"/>
      <c r="S18" s="1560"/>
      <c r="T18" s="1559"/>
      <c r="U18" s="1560"/>
      <c r="V18" s="1559"/>
      <c r="W18" s="1560"/>
      <c r="X18" s="1553"/>
      <c r="Y18" s="3511"/>
      <c r="Z18" s="1561"/>
      <c r="AA18" s="1562">
        <v>1</v>
      </c>
      <c r="AB18" s="1562">
        <v>1</v>
      </c>
      <c r="AC18" s="1562">
        <v>1</v>
      </c>
    </row>
    <row r="19" spans="1:29" ht="20.25" customHeight="1">
      <c r="A19" s="532"/>
      <c r="B19" s="2564" t="s">
        <v>2539</v>
      </c>
      <c r="C19" s="872" t="str">
        <f>估价对象房地状况!C7</f>
        <v>一般</v>
      </c>
      <c r="D19" s="565">
        <v>100</v>
      </c>
      <c r="E19" s="3273" t="s">
        <v>3573</v>
      </c>
      <c r="F19" s="571">
        <f>SUMIF(80:80,E20,81:81)-SUMIF(80:80,C20,81:81)+100</f>
        <v>102</v>
      </c>
      <c r="G19" s="3273" t="s">
        <v>3573</v>
      </c>
      <c r="H19" s="559">
        <f>SUMIF(80:80,G20,81:81)-SUMIF(80:80,C20,81:81)+100</f>
        <v>102</v>
      </c>
      <c r="I19" s="3273" t="s">
        <v>3573</v>
      </c>
      <c r="J19" s="559">
        <f>SUMIF(80:80,I20,81:81)-SUMIF(80:80,C20,81:81)+100</f>
        <v>102</v>
      </c>
      <c r="K19" s="868">
        <f>'比较法-住宅、综合'!K29</f>
        <v>2</v>
      </c>
      <c r="L19" s="2127"/>
      <c r="M19" s="2119"/>
      <c r="N19" s="2119"/>
      <c r="O19" s="2126"/>
      <c r="P19" s="3511"/>
      <c r="Q19" s="1558" t="str">
        <f>B19</f>
        <v>公共配套设施</v>
      </c>
      <c r="R19" s="1559" t="s">
        <v>11</v>
      </c>
      <c r="S19" s="1560">
        <f>F19</f>
        <v>102</v>
      </c>
      <c r="T19" s="1559" t="s">
        <v>11</v>
      </c>
      <c r="U19" s="1560">
        <f>H19</f>
        <v>102</v>
      </c>
      <c r="V19" s="1559" t="s">
        <v>11</v>
      </c>
      <c r="W19" s="1560">
        <f>J19</f>
        <v>102</v>
      </c>
      <c r="X19" s="1553"/>
      <c r="Y19" s="3511"/>
      <c r="Z19" s="1561" t="str">
        <f>Q19</f>
        <v>公共配套设施</v>
      </c>
      <c r="AA19" s="1562">
        <f t="shared" si="3"/>
        <v>0.98039215686274506</v>
      </c>
      <c r="AB19" s="1562">
        <f t="shared" si="4"/>
        <v>0.98039215686274506</v>
      </c>
      <c r="AC19" s="1562">
        <f t="shared" si="5"/>
        <v>0.98039215686274506</v>
      </c>
    </row>
    <row r="20" spans="1:29" ht="15">
      <c r="A20" s="532"/>
      <c r="B20" s="595"/>
      <c r="C20" s="576" t="s">
        <v>3392</v>
      </c>
      <c r="D20" s="555"/>
      <c r="E20" s="576" t="s">
        <v>3378</v>
      </c>
      <c r="F20" s="557"/>
      <c r="G20" s="576" t="s">
        <v>3378</v>
      </c>
      <c r="H20" s="555"/>
      <c r="I20" s="576" t="s">
        <v>3378</v>
      </c>
      <c r="J20" s="555"/>
      <c r="K20" s="870"/>
      <c r="L20" s="2127"/>
      <c r="M20" s="2119"/>
      <c r="N20" s="2119"/>
      <c r="O20" s="2126"/>
      <c r="P20" s="3511"/>
      <c r="Q20" s="1558"/>
      <c r="R20" s="1559"/>
      <c r="S20" s="1560"/>
      <c r="T20" s="1559"/>
      <c r="U20" s="1560"/>
      <c r="V20" s="1559"/>
      <c r="W20" s="1560"/>
      <c r="X20" s="1553"/>
      <c r="Y20" s="3511"/>
      <c r="Z20" s="1561"/>
      <c r="AA20" s="1562">
        <v>1</v>
      </c>
      <c r="AB20" s="1562">
        <v>1</v>
      </c>
      <c r="AC20" s="1562">
        <v>1</v>
      </c>
    </row>
    <row r="21" spans="1:29" ht="18.75" customHeight="1">
      <c r="A21" s="532"/>
      <c r="B21" s="2557" t="s">
        <v>2551</v>
      </c>
      <c r="C21" s="872" t="str">
        <f>估价对象房地状况!C8</f>
        <v>六通</v>
      </c>
      <c r="D21" s="565">
        <v>100</v>
      </c>
      <c r="E21" s="3275" t="s">
        <v>3574</v>
      </c>
      <c r="F21" s="571">
        <f>SUMIF(82:82,E22,83:83)-SUMIF(82:82,C22,83:83)+100</f>
        <v>100</v>
      </c>
      <c r="G21" s="3275" t="s">
        <v>3574</v>
      </c>
      <c r="H21" s="565">
        <f>SUMIF(82:82,G22,83:83)-SUMIF(82:82,C22,83:83)+100</f>
        <v>100</v>
      </c>
      <c r="I21" s="3275" t="s">
        <v>3574</v>
      </c>
      <c r="J21" s="565">
        <f>SUMIF(82:82,I22,83:83)-SUMIF(82:82,C22,83:83)+100</f>
        <v>100</v>
      </c>
      <c r="K21" s="868">
        <f>'比较法-住宅、综合'!K31</f>
        <v>1</v>
      </c>
      <c r="L21" s="2127"/>
      <c r="M21" s="2119"/>
      <c r="N21" s="2119"/>
      <c r="O21" s="2126"/>
      <c r="P21" s="3511"/>
      <c r="Q21" s="2543" t="str">
        <f>B21</f>
        <v>基础设施水平</v>
      </c>
      <c r="R21" s="1559" t="s">
        <v>11</v>
      </c>
      <c r="S21" s="1560">
        <f>F21</f>
        <v>100</v>
      </c>
      <c r="T21" s="1559" t="s">
        <v>11</v>
      </c>
      <c r="U21" s="1560">
        <f>H21</f>
        <v>100</v>
      </c>
      <c r="V21" s="1559" t="s">
        <v>11</v>
      </c>
      <c r="W21" s="1560">
        <f>J21</f>
        <v>100</v>
      </c>
      <c r="X21" s="2545"/>
      <c r="Y21" s="3511"/>
      <c r="Z21" s="2544" t="str">
        <f>Q21</f>
        <v>基础设施水平</v>
      </c>
      <c r="AA21" s="1562">
        <f t="shared" ref="AA21" si="8">D21/F21</f>
        <v>1</v>
      </c>
      <c r="AB21" s="1562">
        <f t="shared" ref="AB21" si="9">D21/H21</f>
        <v>1</v>
      </c>
      <c r="AC21" s="1562">
        <f t="shared" ref="AC21" si="10">D21/J21</f>
        <v>1</v>
      </c>
    </row>
    <row r="22" spans="1:29" ht="15.75" thickBot="1">
      <c r="A22" s="532"/>
      <c r="B22" s="921"/>
      <c r="C22" s="873" t="s">
        <v>3379</v>
      </c>
      <c r="D22" s="555"/>
      <c r="E22" s="873" t="s">
        <v>3379</v>
      </c>
      <c r="F22" s="557"/>
      <c r="G22" s="873" t="s">
        <v>3379</v>
      </c>
      <c r="H22" s="555"/>
      <c r="I22" s="873" t="s">
        <v>3379</v>
      </c>
      <c r="J22" s="555"/>
      <c r="K22" s="2563"/>
      <c r="L22" s="2127"/>
      <c r="M22" s="2119"/>
      <c r="N22" s="2119"/>
      <c r="O22" s="2126"/>
      <c r="P22" s="3511"/>
      <c r="Q22" s="2543"/>
      <c r="R22" s="1559"/>
      <c r="S22" s="1560"/>
      <c r="T22" s="1559"/>
      <c r="U22" s="1560"/>
      <c r="V22" s="1559"/>
      <c r="W22" s="1560"/>
      <c r="X22" s="2545"/>
      <c r="Y22" s="3511"/>
      <c r="Z22" s="2544"/>
      <c r="AA22" s="1562">
        <v>1</v>
      </c>
      <c r="AB22" s="1562">
        <v>1</v>
      </c>
      <c r="AC22" s="1562">
        <v>1</v>
      </c>
    </row>
    <row r="23" spans="1:29" ht="19.5" customHeight="1">
      <c r="A23" s="532"/>
      <c r="B23" s="871" t="s">
        <v>297</v>
      </c>
      <c r="C23" s="872" t="str">
        <f>估价对象房地状况!C9</f>
        <v>好</v>
      </c>
      <c r="D23" s="559">
        <v>100</v>
      </c>
      <c r="E23" s="3273" t="s">
        <v>3573</v>
      </c>
      <c r="F23" s="563">
        <f>SUMIF(84:84,E24,85:85)-SUMIF(84:84,C24,85:85)+100</f>
        <v>95</v>
      </c>
      <c r="G23" s="3273" t="s">
        <v>3573</v>
      </c>
      <c r="H23" s="559">
        <f>SUMIF(84:84,G24,85:85)-SUMIF(84:84,C24,85:85)+100</f>
        <v>95</v>
      </c>
      <c r="I23" s="3273" t="s">
        <v>3573</v>
      </c>
      <c r="J23" s="559">
        <f>SUMIF(84:84,I24,85:85)-SUMIF(84:84,C24,85:85)+100</f>
        <v>95</v>
      </c>
      <c r="K23" s="868">
        <f>'比较法-住宅、综合'!K27</f>
        <v>5</v>
      </c>
      <c r="L23" s="2127"/>
      <c r="M23" s="2119"/>
      <c r="N23" s="2119"/>
      <c r="O23" s="2126"/>
      <c r="P23" s="3511"/>
      <c r="Q23" s="1558" t="str">
        <f>B23</f>
        <v>自然及人文环境</v>
      </c>
      <c r="R23" s="1559" t="s">
        <v>11</v>
      </c>
      <c r="S23" s="1560">
        <f>F23</f>
        <v>95</v>
      </c>
      <c r="T23" s="1559" t="s">
        <v>11</v>
      </c>
      <c r="U23" s="1560">
        <f>H23</f>
        <v>95</v>
      </c>
      <c r="V23" s="1559" t="s">
        <v>11</v>
      </c>
      <c r="W23" s="1560">
        <f>J23</f>
        <v>95</v>
      </c>
      <c r="X23" s="1553"/>
      <c r="Y23" s="3511"/>
      <c r="Z23" s="1561" t="str">
        <f>Q23</f>
        <v>自然及人文环境</v>
      </c>
      <c r="AA23" s="1562">
        <f t="shared" si="3"/>
        <v>1.0526315789473684</v>
      </c>
      <c r="AB23" s="1562">
        <f t="shared" si="4"/>
        <v>1.0526315789473684</v>
      </c>
      <c r="AC23" s="1562">
        <f t="shared" si="5"/>
        <v>1.0526315789473684</v>
      </c>
    </row>
    <row r="24" spans="1:29" ht="15.75" thickBot="1">
      <c r="A24" s="532"/>
      <c r="B24" s="595"/>
      <c r="C24" s="576" t="s">
        <v>3391</v>
      </c>
      <c r="D24" s="555"/>
      <c r="E24" s="576" t="s">
        <v>3378</v>
      </c>
      <c r="F24" s="557"/>
      <c r="G24" s="576" t="s">
        <v>3378</v>
      </c>
      <c r="H24" s="555"/>
      <c r="I24" s="576" t="s">
        <v>3378</v>
      </c>
      <c r="J24" s="555"/>
      <c r="K24" s="870"/>
      <c r="L24" s="2127"/>
      <c r="M24" s="2119"/>
      <c r="N24" s="2119"/>
      <c r="O24" s="2126"/>
      <c r="P24" s="3511"/>
      <c r="Q24" s="1558"/>
      <c r="R24" s="1559"/>
      <c r="S24" s="1560"/>
      <c r="T24" s="1559"/>
      <c r="U24" s="1560"/>
      <c r="V24" s="1559"/>
      <c r="W24" s="1560"/>
      <c r="X24" s="1553"/>
      <c r="Y24" s="3511"/>
      <c r="Z24" s="1561"/>
      <c r="AA24" s="1562">
        <v>1</v>
      </c>
      <c r="AB24" s="1562">
        <v>1</v>
      </c>
      <c r="AC24" s="1562">
        <v>1</v>
      </c>
    </row>
    <row r="25" spans="1:29" ht="15" hidden="1">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511"/>
      <c r="Q25" s="1558" t="str">
        <f t="shared" ref="Q25:Q46" si="11">B25</f>
        <v>楼层-1</v>
      </c>
      <c r="R25" s="1559" t="s">
        <v>11</v>
      </c>
      <c r="S25" s="1560">
        <f>F25</f>
        <v>100</v>
      </c>
      <c r="T25" s="1559" t="s">
        <v>11</v>
      </c>
      <c r="U25" s="1560">
        <f>H25</f>
        <v>100</v>
      </c>
      <c r="V25" s="1559" t="s">
        <v>11</v>
      </c>
      <c r="W25" s="1560">
        <f>J25</f>
        <v>100</v>
      </c>
      <c r="X25" s="1553"/>
      <c r="Y25" s="3511"/>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511"/>
      <c r="Q26" s="1558" t="str">
        <f t="shared" si="11"/>
        <v>朝向</v>
      </c>
      <c r="R26" s="1559" t="s">
        <v>11</v>
      </c>
      <c r="S26" s="1560">
        <f>F26</f>
        <v>100</v>
      </c>
      <c r="T26" s="1559" t="s">
        <v>11</v>
      </c>
      <c r="U26" s="1560">
        <f>H26</f>
        <v>100</v>
      </c>
      <c r="V26" s="1559" t="s">
        <v>11</v>
      </c>
      <c r="W26" s="1560">
        <f>J26</f>
        <v>100</v>
      </c>
      <c r="X26" s="1553"/>
      <c r="Y26" s="3511"/>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511"/>
      <c r="Q27" s="1146" t="str">
        <f t="shared" si="11"/>
        <v>道路级别</v>
      </c>
      <c r="R27" s="1554" t="s">
        <v>11</v>
      </c>
      <c r="S27" s="1555">
        <f>F27</f>
        <v>100</v>
      </c>
      <c r="T27" s="1554" t="s">
        <v>11</v>
      </c>
      <c r="U27" s="1555">
        <f>H27</f>
        <v>100</v>
      </c>
      <c r="V27" s="1554" t="s">
        <v>11</v>
      </c>
      <c r="W27" s="1555">
        <f>J27</f>
        <v>100</v>
      </c>
      <c r="X27" s="1556"/>
      <c r="Y27" s="3511"/>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511"/>
      <c r="Q28" s="1558">
        <f t="shared" si="11"/>
        <v>111</v>
      </c>
      <c r="R28" s="1559" t="s">
        <v>11</v>
      </c>
      <c r="S28" s="1560">
        <f t="shared" ref="S28:S46" si="12">F28</f>
        <v>100</v>
      </c>
      <c r="T28" s="1559" t="s">
        <v>11</v>
      </c>
      <c r="U28" s="1560">
        <f t="shared" ref="U28:U46" si="13">H28</f>
        <v>100</v>
      </c>
      <c r="V28" s="1559" t="s">
        <v>11</v>
      </c>
      <c r="W28" s="1560">
        <f t="shared" ref="W28:W46" si="14">J28</f>
        <v>100</v>
      </c>
      <c r="X28" s="1553"/>
      <c r="Y28" s="3511"/>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511"/>
      <c r="Q29" s="1558">
        <f t="shared" si="11"/>
        <v>111</v>
      </c>
      <c r="R29" s="1559" t="s">
        <v>11</v>
      </c>
      <c r="S29" s="1560">
        <f t="shared" si="12"/>
        <v>100</v>
      </c>
      <c r="T29" s="1559" t="s">
        <v>11</v>
      </c>
      <c r="U29" s="1560">
        <f t="shared" si="13"/>
        <v>100</v>
      </c>
      <c r="V29" s="1559" t="s">
        <v>11</v>
      </c>
      <c r="W29" s="1560">
        <f t="shared" si="14"/>
        <v>100</v>
      </c>
      <c r="X29" s="1553"/>
      <c r="Y29" s="3511"/>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511"/>
      <c r="Q30" s="1558">
        <f t="shared" si="11"/>
        <v>111</v>
      </c>
      <c r="R30" s="1559" t="s">
        <v>11</v>
      </c>
      <c r="S30" s="1560">
        <f t="shared" si="12"/>
        <v>100</v>
      </c>
      <c r="T30" s="1559" t="s">
        <v>11</v>
      </c>
      <c r="U30" s="1560">
        <f t="shared" si="13"/>
        <v>100</v>
      </c>
      <c r="V30" s="1559" t="s">
        <v>11</v>
      </c>
      <c r="W30" s="1560">
        <f t="shared" si="14"/>
        <v>100</v>
      </c>
      <c r="X30" s="1553"/>
      <c r="Y30" s="3511"/>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511"/>
      <c r="Q31" s="1558">
        <f t="shared" si="11"/>
        <v>111</v>
      </c>
      <c r="R31" s="1559" t="s">
        <v>11</v>
      </c>
      <c r="S31" s="1560">
        <f t="shared" si="12"/>
        <v>100</v>
      </c>
      <c r="T31" s="1559" t="s">
        <v>11</v>
      </c>
      <c r="U31" s="1560">
        <f t="shared" si="13"/>
        <v>100</v>
      </c>
      <c r="V31" s="1559" t="s">
        <v>11</v>
      </c>
      <c r="W31" s="1560">
        <f t="shared" si="14"/>
        <v>100</v>
      </c>
      <c r="X31" s="1553"/>
      <c r="Y31" s="3511"/>
      <c r="Z31" s="1561">
        <f t="shared" si="15"/>
        <v>111</v>
      </c>
      <c r="AA31" s="1562">
        <f t="shared" si="3"/>
        <v>1</v>
      </c>
      <c r="AB31" s="1562">
        <f t="shared" si="4"/>
        <v>1</v>
      </c>
      <c r="AC31" s="1562">
        <f t="shared" si="5"/>
        <v>1</v>
      </c>
    </row>
    <row r="32" spans="1:29" ht="15">
      <c r="A32" s="2862" t="s">
        <v>2748</v>
      </c>
      <c r="B32" s="172" t="s">
        <v>724</v>
      </c>
      <c r="C32" s="878" t="s">
        <v>3492</v>
      </c>
      <c r="D32" s="597">
        <v>100</v>
      </c>
      <c r="E32" s="878" t="s">
        <v>3492</v>
      </c>
      <c r="F32" s="575">
        <f>SUMIF(100:100,E32,101:101)-SUMIF(100:100,C32,101:101)+100</f>
        <v>100</v>
      </c>
      <c r="G32" s="878" t="s">
        <v>3492</v>
      </c>
      <c r="H32" s="597">
        <f>SUMIF(100:100,G32,101:101)-SUMIF(100:100,C32,101:101)+100</f>
        <v>100</v>
      </c>
      <c r="I32" s="878" t="s">
        <v>3492</v>
      </c>
      <c r="J32" s="540">
        <f>SUMIF(100:100,I32,101:101)-SUMIF(100:100,C32,101:101)+100</f>
        <v>100</v>
      </c>
      <c r="K32" s="864">
        <v>2</v>
      </c>
      <c r="L32" s="2127"/>
      <c r="M32" s="2119"/>
      <c r="N32" s="2119"/>
      <c r="O32" s="2126"/>
      <c r="P32" s="3512" t="s">
        <v>549</v>
      </c>
      <c r="Q32" s="1558" t="str">
        <f t="shared" si="11"/>
        <v>建筑类型</v>
      </c>
      <c r="R32" s="1559" t="s">
        <v>11</v>
      </c>
      <c r="S32" s="1560">
        <f t="shared" si="12"/>
        <v>100</v>
      </c>
      <c r="T32" s="1559" t="s">
        <v>11</v>
      </c>
      <c r="U32" s="1560">
        <f t="shared" si="13"/>
        <v>100</v>
      </c>
      <c r="V32" s="1559" t="s">
        <v>11</v>
      </c>
      <c r="W32" s="1560">
        <f t="shared" si="14"/>
        <v>100</v>
      </c>
      <c r="X32" s="1553"/>
      <c r="Y32" s="3513" t="s">
        <v>549</v>
      </c>
      <c r="Z32" s="1561" t="str">
        <f t="shared" si="15"/>
        <v>建筑类型</v>
      </c>
      <c r="AA32" s="1562">
        <f t="shared" si="3"/>
        <v>1</v>
      </c>
      <c r="AB32" s="1562">
        <f t="shared" si="4"/>
        <v>1</v>
      </c>
      <c r="AC32" s="1562">
        <f t="shared" si="5"/>
        <v>1</v>
      </c>
    </row>
    <row r="33" spans="1:29" s="1334" customFormat="1" ht="15">
      <c r="A33" s="603"/>
      <c r="B33" s="527" t="s">
        <v>725</v>
      </c>
      <c r="C33" s="879">
        <f>'数据-汇总表'!E3</f>
        <v>240271.90000000002</v>
      </c>
      <c r="D33" s="255">
        <v>100</v>
      </c>
      <c r="E33" s="534">
        <f>ROUND(35185*2.5,0)</f>
        <v>87963</v>
      </c>
      <c r="F33" s="863">
        <f>LOOKUP(E33,103:103,104:104)-LOOKUP(C33,103:103,104:104)+100</f>
        <v>98</v>
      </c>
      <c r="G33" s="533">
        <v>69682</v>
      </c>
      <c r="H33" s="255">
        <f>LOOKUP(G33,103:103,104:104)-LOOKUP(C33,103:103,104:104)+100</f>
        <v>98</v>
      </c>
      <c r="I33" s="534">
        <v>237204</v>
      </c>
      <c r="J33" s="255">
        <f>LOOKUP(I33,103:103,104:104)-LOOKUP(C33,103:103,104:104)+100</f>
        <v>100</v>
      </c>
      <c r="K33" s="865"/>
      <c r="L33" s="2125"/>
      <c r="M33" s="2156"/>
      <c r="N33" s="2156"/>
      <c r="O33" s="2128"/>
      <c r="P33" s="3513"/>
      <c r="Q33" s="1590" t="str">
        <f t="shared" si="11"/>
        <v>项目建筑规模</v>
      </c>
      <c r="R33" s="1563" t="s">
        <v>11</v>
      </c>
      <c r="S33" s="1564">
        <f t="shared" si="12"/>
        <v>98</v>
      </c>
      <c r="T33" s="1563" t="s">
        <v>11</v>
      </c>
      <c r="U33" s="1564">
        <f t="shared" si="13"/>
        <v>98</v>
      </c>
      <c r="V33" s="1563" t="s">
        <v>11</v>
      </c>
      <c r="W33" s="1564">
        <f t="shared" si="14"/>
        <v>100</v>
      </c>
      <c r="X33" s="1565"/>
      <c r="Y33" s="3513"/>
      <c r="Z33" s="1566" t="str">
        <f t="shared" si="15"/>
        <v>项目建筑规模</v>
      </c>
      <c r="AA33" s="1562">
        <f t="shared" si="3"/>
        <v>1.0204081632653061</v>
      </c>
      <c r="AB33" s="1562">
        <f t="shared" si="4"/>
        <v>1.0204081632653061</v>
      </c>
      <c r="AC33" s="1562">
        <f t="shared" si="5"/>
        <v>1</v>
      </c>
    </row>
    <row r="34" spans="1:29" ht="15">
      <c r="A34" s="594"/>
      <c r="B34" s="527" t="s">
        <v>726</v>
      </c>
      <c r="C34" s="880" t="s">
        <v>3455</v>
      </c>
      <c r="D34" s="540">
        <v>100</v>
      </c>
      <c r="E34" s="880" t="s">
        <v>3455</v>
      </c>
      <c r="F34" s="575">
        <f>SUMIF(105:105,E34,106:106)-SUMIF(105:105,C34,106:106)+100</f>
        <v>100</v>
      </c>
      <c r="G34" s="880" t="s">
        <v>3455</v>
      </c>
      <c r="H34" s="540">
        <f>SUMIF(105:105,G34,106:106)-SUMIF(105:105,C34,106:106)+100</f>
        <v>100</v>
      </c>
      <c r="I34" s="880" t="s">
        <v>3455</v>
      </c>
      <c r="J34" s="540">
        <f>SUMIF(105:105,I34,106:106)-SUMIF(105:105,C34,106:106)+100</f>
        <v>100</v>
      </c>
      <c r="K34" s="864">
        <v>2</v>
      </c>
      <c r="L34" s="2127"/>
      <c r="M34" s="2119"/>
      <c r="N34" s="2119"/>
      <c r="O34" s="2126"/>
      <c r="P34" s="3513"/>
      <c r="Q34" s="1558" t="str">
        <f t="shared" si="11"/>
        <v>建筑结构</v>
      </c>
      <c r="R34" s="1559" t="s">
        <v>11</v>
      </c>
      <c r="S34" s="1560">
        <f t="shared" si="12"/>
        <v>100</v>
      </c>
      <c r="T34" s="1559" t="s">
        <v>11</v>
      </c>
      <c r="U34" s="1560">
        <f t="shared" si="13"/>
        <v>100</v>
      </c>
      <c r="V34" s="1559" t="s">
        <v>11</v>
      </c>
      <c r="W34" s="1560">
        <f t="shared" si="14"/>
        <v>100</v>
      </c>
      <c r="X34" s="1553"/>
      <c r="Y34" s="3513"/>
      <c r="Z34" s="1561" t="str">
        <f t="shared" si="15"/>
        <v>建筑结构</v>
      </c>
      <c r="AA34" s="1562">
        <f t="shared" si="3"/>
        <v>1</v>
      </c>
      <c r="AB34" s="1562">
        <f t="shared" si="4"/>
        <v>1</v>
      </c>
      <c r="AC34" s="1562">
        <f t="shared" si="5"/>
        <v>1</v>
      </c>
    </row>
    <row r="35" spans="1:29" ht="15">
      <c r="A35" s="594"/>
      <c r="B35" s="527" t="s">
        <v>727</v>
      </c>
      <c r="C35" s="599" t="s">
        <v>3482</v>
      </c>
      <c r="D35" s="540">
        <v>100</v>
      </c>
      <c r="E35" s="599" t="s">
        <v>3482</v>
      </c>
      <c r="F35" s="575">
        <f>SUMIF(107:107,E35,108:108)-SUMIF(107:107,C35,108:108)+100</f>
        <v>100</v>
      </c>
      <c r="G35" s="599" t="s">
        <v>3482</v>
      </c>
      <c r="H35" s="540">
        <f>SUMIF(107:107,G35,108:108)-SUMIF(107:107,C35,108:108)+100</f>
        <v>100</v>
      </c>
      <c r="I35" s="599" t="s">
        <v>3482</v>
      </c>
      <c r="J35" s="540">
        <f>SUMIF(107:107,I35,108:108)-SUMIF(107:107,C35,108:108)+100</f>
        <v>100</v>
      </c>
      <c r="K35" s="864">
        <v>2</v>
      </c>
      <c r="L35" s="2127"/>
      <c r="M35" s="2119"/>
      <c r="N35" s="2119"/>
      <c r="O35" s="2126"/>
      <c r="P35" s="3513"/>
      <c r="Q35" s="1558" t="str">
        <f t="shared" si="11"/>
        <v>建筑品质</v>
      </c>
      <c r="R35" s="1559" t="s">
        <v>11</v>
      </c>
      <c r="S35" s="1560">
        <f t="shared" si="12"/>
        <v>100</v>
      </c>
      <c r="T35" s="1559" t="s">
        <v>11</v>
      </c>
      <c r="U35" s="1560">
        <f t="shared" si="13"/>
        <v>100</v>
      </c>
      <c r="V35" s="1559" t="s">
        <v>11</v>
      </c>
      <c r="W35" s="1560">
        <f t="shared" si="14"/>
        <v>100</v>
      </c>
      <c r="X35" s="1553"/>
      <c r="Y35" s="3513"/>
      <c r="Z35" s="1561" t="str">
        <f t="shared" si="15"/>
        <v>建筑品质</v>
      </c>
      <c r="AA35" s="1562">
        <f t="shared" si="3"/>
        <v>1</v>
      </c>
      <c r="AB35" s="1562">
        <f t="shared" si="4"/>
        <v>1</v>
      </c>
      <c r="AC35" s="1562">
        <f t="shared" si="5"/>
        <v>1</v>
      </c>
    </row>
    <row r="36" spans="1:29" ht="15">
      <c r="A36" s="594"/>
      <c r="B36" s="527" t="s">
        <v>728</v>
      </c>
      <c r="C36" s="599" t="s">
        <v>3466</v>
      </c>
      <c r="D36" s="540">
        <v>100</v>
      </c>
      <c r="E36" s="599" t="s">
        <v>3466</v>
      </c>
      <c r="F36" s="575">
        <f>SUMIF(109:109,E36,110:110)-SUMIF(109:109,C36,110:110)+100</f>
        <v>100</v>
      </c>
      <c r="G36" s="599" t="s">
        <v>3466</v>
      </c>
      <c r="H36" s="540">
        <f>SUMIF(109:109,G36,110:110)-SUMIF(109:109,C36,110:110)+100</f>
        <v>100</v>
      </c>
      <c r="I36" s="599" t="s">
        <v>3466</v>
      </c>
      <c r="J36" s="540">
        <f>SUMIF(109:109,I36,110:110)-SUMIF(109:109,C36,110:110)+100</f>
        <v>100</v>
      </c>
      <c r="K36" s="864">
        <v>2</v>
      </c>
      <c r="L36" s="2127"/>
      <c r="M36" s="2119"/>
      <c r="N36" s="2119"/>
      <c r="O36" s="2126"/>
      <c r="P36" s="3513"/>
      <c r="Q36" s="1558" t="str">
        <f t="shared" si="11"/>
        <v>公共部分装修</v>
      </c>
      <c r="R36" s="1559" t="s">
        <v>11</v>
      </c>
      <c r="S36" s="1560">
        <f t="shared" si="12"/>
        <v>100</v>
      </c>
      <c r="T36" s="1559" t="s">
        <v>11</v>
      </c>
      <c r="U36" s="1560">
        <f t="shared" si="13"/>
        <v>100</v>
      </c>
      <c r="V36" s="1559" t="s">
        <v>11</v>
      </c>
      <c r="W36" s="1560">
        <f t="shared" si="14"/>
        <v>100</v>
      </c>
      <c r="X36" s="1553"/>
      <c r="Y36" s="3513"/>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513"/>
      <c r="Q37" s="1146" t="str">
        <f t="shared" si="11"/>
        <v>成新度</v>
      </c>
      <c r="R37" s="1554" t="s">
        <v>11</v>
      </c>
      <c r="S37" s="1555">
        <f t="shared" si="12"/>
        <v>100</v>
      </c>
      <c r="T37" s="1554" t="s">
        <v>11</v>
      </c>
      <c r="U37" s="1555">
        <f t="shared" si="13"/>
        <v>100</v>
      </c>
      <c r="V37" s="1554" t="s">
        <v>11</v>
      </c>
      <c r="W37" s="1555">
        <f t="shared" si="14"/>
        <v>100</v>
      </c>
      <c r="X37" s="1556"/>
      <c r="Y37" s="3513"/>
      <c r="Z37" s="1145" t="str">
        <f t="shared" si="15"/>
        <v>成新度</v>
      </c>
      <c r="AA37" s="1557">
        <f t="shared" si="3"/>
        <v>1</v>
      </c>
      <c r="AB37" s="1557">
        <f t="shared" si="4"/>
        <v>1</v>
      </c>
      <c r="AC37" s="1557">
        <f t="shared" si="5"/>
        <v>1</v>
      </c>
    </row>
    <row r="38" spans="1:29" ht="15">
      <c r="A38" s="594"/>
      <c r="B38" s="527" t="s">
        <v>730</v>
      </c>
      <c r="C38" s="599" t="s">
        <v>3488</v>
      </c>
      <c r="D38" s="540">
        <v>100</v>
      </c>
      <c r="E38" s="599" t="s">
        <v>3488</v>
      </c>
      <c r="F38" s="575">
        <f>SUMIF(114:114,E38,115:115)-SUMIF(114:114,C38,115:115)+100</f>
        <v>100</v>
      </c>
      <c r="G38" s="599" t="s">
        <v>3488</v>
      </c>
      <c r="H38" s="540">
        <f>SUMIF(114:114,G38,115:115)-SUMIF(114:114,C38,115:115)+100</f>
        <v>100</v>
      </c>
      <c r="I38" s="599" t="s">
        <v>3488</v>
      </c>
      <c r="J38" s="540">
        <f>SUMIF(114:114,I38,115:115)-SUMIF(114:114,C38,115:115)+100</f>
        <v>100</v>
      </c>
      <c r="K38" s="864">
        <v>2</v>
      </c>
      <c r="L38" s="2127"/>
      <c r="M38" s="2119"/>
      <c r="N38" s="2119"/>
      <c r="O38" s="2126"/>
      <c r="P38" s="3513" t="s">
        <v>549</v>
      </c>
      <c r="Q38" s="1558" t="str">
        <f t="shared" si="11"/>
        <v>物业管理</v>
      </c>
      <c r="R38" s="1559" t="s">
        <v>11</v>
      </c>
      <c r="S38" s="1560">
        <f t="shared" si="12"/>
        <v>100</v>
      </c>
      <c r="T38" s="1559" t="s">
        <v>11</v>
      </c>
      <c r="U38" s="1560">
        <f t="shared" si="13"/>
        <v>100</v>
      </c>
      <c r="V38" s="1559" t="s">
        <v>11</v>
      </c>
      <c r="W38" s="1560">
        <f t="shared" si="14"/>
        <v>100</v>
      </c>
      <c r="X38" s="1553"/>
      <c r="Y38" s="3513" t="s">
        <v>549</v>
      </c>
      <c r="Z38" s="1561" t="str">
        <f t="shared" si="15"/>
        <v>物业管理</v>
      </c>
      <c r="AA38" s="1562">
        <f t="shared" si="3"/>
        <v>1</v>
      </c>
      <c r="AB38" s="1562">
        <f t="shared" si="4"/>
        <v>1</v>
      </c>
      <c r="AC38" s="1562">
        <f t="shared" si="5"/>
        <v>1</v>
      </c>
    </row>
    <row r="39" spans="1:29" ht="15">
      <c r="A39" s="594"/>
      <c r="B39" s="1880" t="s">
        <v>2557</v>
      </c>
      <c r="C39" s="599" t="s">
        <v>3379</v>
      </c>
      <c r="D39" s="540">
        <v>100</v>
      </c>
      <c r="E39" s="599" t="s">
        <v>3379</v>
      </c>
      <c r="F39" s="575">
        <f>SUMIF(116:116,E39,117:117)-SUMIF(116:116,C39,117:117)+100</f>
        <v>100</v>
      </c>
      <c r="G39" s="599" t="s">
        <v>3379</v>
      </c>
      <c r="H39" s="540">
        <f>SUMIF(116:116,G39,117:117)-SUMIF(116:116,C39,117:117)+100</f>
        <v>100</v>
      </c>
      <c r="I39" s="599" t="s">
        <v>3379</v>
      </c>
      <c r="J39" s="540">
        <f>SUMIF(116:116,I39,117:117)-SUMIF(116:116,C39,117:117)+100</f>
        <v>100</v>
      </c>
      <c r="K39" s="864">
        <v>1</v>
      </c>
      <c r="L39" s="2127"/>
      <c r="M39" s="2119"/>
      <c r="N39" s="2119"/>
      <c r="O39" s="2126"/>
      <c r="P39" s="3513"/>
      <c r="Q39" s="1558" t="str">
        <f t="shared" si="11"/>
        <v>市政基础设施</v>
      </c>
      <c r="R39" s="1559" t="s">
        <v>11</v>
      </c>
      <c r="S39" s="1560">
        <f t="shared" si="12"/>
        <v>100</v>
      </c>
      <c r="T39" s="1559" t="s">
        <v>11</v>
      </c>
      <c r="U39" s="1560">
        <f t="shared" si="13"/>
        <v>100</v>
      </c>
      <c r="V39" s="1559" t="s">
        <v>11</v>
      </c>
      <c r="W39" s="1560">
        <f t="shared" si="14"/>
        <v>100</v>
      </c>
      <c r="X39" s="1553"/>
      <c r="Y39" s="3513"/>
      <c r="Z39" s="1561" t="str">
        <f t="shared" si="15"/>
        <v>市政基础设施</v>
      </c>
      <c r="AA39" s="1562">
        <f t="shared" si="3"/>
        <v>1</v>
      </c>
      <c r="AB39" s="1562">
        <f t="shared" si="4"/>
        <v>1</v>
      </c>
      <c r="AC39" s="1562">
        <f t="shared" si="5"/>
        <v>1</v>
      </c>
    </row>
    <row r="40" spans="1:29" ht="15" hidden="1">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7"/>
      <c r="M40" s="2119"/>
      <c r="N40" s="2119"/>
      <c r="O40" s="2126"/>
      <c r="P40" s="3513"/>
      <c r="Q40" s="1558" t="str">
        <f t="shared" si="11"/>
        <v>房型</v>
      </c>
      <c r="R40" s="1559" t="s">
        <v>11</v>
      </c>
      <c r="S40" s="1560">
        <f t="shared" si="12"/>
        <v>100</v>
      </c>
      <c r="T40" s="1559" t="s">
        <v>11</v>
      </c>
      <c r="U40" s="1560">
        <f t="shared" si="13"/>
        <v>100</v>
      </c>
      <c r="V40" s="1559" t="s">
        <v>11</v>
      </c>
      <c r="W40" s="1560">
        <f t="shared" si="14"/>
        <v>100</v>
      </c>
      <c r="X40" s="1553"/>
      <c r="Y40" s="3513"/>
      <c r="Z40" s="1561" t="str">
        <f t="shared" si="15"/>
        <v>房型</v>
      </c>
      <c r="AA40" s="1562">
        <f t="shared" si="3"/>
        <v>1</v>
      </c>
      <c r="AB40" s="1562">
        <f t="shared" si="4"/>
        <v>1</v>
      </c>
      <c r="AC40" s="1562">
        <f t="shared" si="5"/>
        <v>1</v>
      </c>
    </row>
    <row r="41" spans="1:29" s="1334" customFormat="1" ht="28.5"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513"/>
      <c r="Q41" s="1590" t="str">
        <f t="shared" si="11"/>
        <v>单套/主力户型建筑面积</v>
      </c>
      <c r="R41" s="1563" t="s">
        <v>11</v>
      </c>
      <c r="S41" s="1564">
        <f t="shared" si="12"/>
        <v>100</v>
      </c>
      <c r="T41" s="1563" t="s">
        <v>11</v>
      </c>
      <c r="U41" s="1564">
        <f t="shared" si="13"/>
        <v>100</v>
      </c>
      <c r="V41" s="1563" t="s">
        <v>11</v>
      </c>
      <c r="W41" s="1564">
        <f t="shared" si="14"/>
        <v>100</v>
      </c>
      <c r="X41" s="1565"/>
      <c r="Y41" s="3513"/>
      <c r="Z41" s="1566" t="str">
        <f t="shared" si="15"/>
        <v>单套/主力户型建筑面积</v>
      </c>
      <c r="AA41" s="1562">
        <f t="shared" si="3"/>
        <v>1</v>
      </c>
      <c r="AB41" s="1562">
        <f t="shared" si="4"/>
        <v>1</v>
      </c>
      <c r="AC41" s="1562">
        <f t="shared" si="5"/>
        <v>1</v>
      </c>
    </row>
    <row r="42" spans="1:29" ht="15">
      <c r="A42" s="594"/>
      <c r="B42" s="527" t="s">
        <v>733</v>
      </c>
      <c r="C42" s="599" t="s">
        <v>3486</v>
      </c>
      <c r="D42" s="540">
        <v>100</v>
      </c>
      <c r="E42" s="599" t="s">
        <v>3486</v>
      </c>
      <c r="F42" s="575">
        <f>SUMIF(122:122,E42,123:123)-SUMIF(122:122,C42,123:123)+100</f>
        <v>100</v>
      </c>
      <c r="G42" s="599" t="s">
        <v>3486</v>
      </c>
      <c r="H42" s="540">
        <f>SUMIF(122:122,G42,123:123)-SUMIF(122:122,C42,123:123)+100</f>
        <v>100</v>
      </c>
      <c r="I42" s="599" t="s">
        <v>3486</v>
      </c>
      <c r="J42" s="540">
        <f>SUMIF(122:122,I42,123:123)-SUMIF(122:122,C42,123:123)+100</f>
        <v>100</v>
      </c>
      <c r="K42" s="864">
        <v>2</v>
      </c>
      <c r="L42" s="2127"/>
      <c r="M42" s="2119"/>
      <c r="N42" s="2119"/>
      <c r="O42" s="2126"/>
      <c r="P42" s="3513"/>
      <c r="Q42" s="1558" t="str">
        <f t="shared" si="11"/>
        <v>内部装修</v>
      </c>
      <c r="R42" s="1559" t="s">
        <v>11</v>
      </c>
      <c r="S42" s="1560">
        <f t="shared" si="12"/>
        <v>100</v>
      </c>
      <c r="T42" s="1559" t="s">
        <v>11</v>
      </c>
      <c r="U42" s="1560">
        <f t="shared" si="13"/>
        <v>100</v>
      </c>
      <c r="V42" s="1559" t="s">
        <v>11</v>
      </c>
      <c r="W42" s="1560">
        <f t="shared" si="14"/>
        <v>100</v>
      </c>
      <c r="X42" s="1553"/>
      <c r="Y42" s="3513"/>
      <c r="Z42" s="1561" t="str">
        <f t="shared" si="15"/>
        <v>内部装修</v>
      </c>
      <c r="AA42" s="1562">
        <f t="shared" si="3"/>
        <v>1</v>
      </c>
      <c r="AB42" s="1562">
        <f t="shared" si="4"/>
        <v>1</v>
      </c>
      <c r="AC42" s="1562">
        <f t="shared" si="5"/>
        <v>1</v>
      </c>
    </row>
    <row r="43" spans="1:29" ht="27.75" thickBot="1">
      <c r="A43" s="594"/>
      <c r="B43" s="527" t="s">
        <v>734</v>
      </c>
      <c r="C43" s="599" t="s">
        <v>3378</v>
      </c>
      <c r="D43" s="540">
        <v>100</v>
      </c>
      <c r="E43" s="599" t="s">
        <v>3378</v>
      </c>
      <c r="F43" s="575">
        <f>SUMIF(124:124,E43,125:125)-SUMIF(124:124,C43,125:125)+100</f>
        <v>100</v>
      </c>
      <c r="G43" s="599" t="s">
        <v>3378</v>
      </c>
      <c r="H43" s="540">
        <f>SUMIF(124:124,G43,125:125)-SUMIF(124:124,C43,125:125)+100</f>
        <v>100</v>
      </c>
      <c r="I43" s="599" t="s">
        <v>3378</v>
      </c>
      <c r="J43" s="540">
        <f>SUMIF(124:124,I43,125:125)-SUMIF(124:124,C43,125:125)+100</f>
        <v>100</v>
      </c>
      <c r="K43" s="864">
        <v>2</v>
      </c>
      <c r="L43" s="2127"/>
      <c r="M43" s="2119"/>
      <c r="N43" s="2119"/>
      <c r="O43" s="2126"/>
      <c r="P43" s="3513"/>
      <c r="Q43" s="1558" t="str">
        <f t="shared" si="11"/>
        <v>内部装修维护情况</v>
      </c>
      <c r="R43" s="1559" t="s">
        <v>11</v>
      </c>
      <c r="S43" s="1560">
        <f t="shared" si="12"/>
        <v>100</v>
      </c>
      <c r="T43" s="1559" t="s">
        <v>11</v>
      </c>
      <c r="U43" s="1560">
        <f t="shared" si="13"/>
        <v>100</v>
      </c>
      <c r="V43" s="1559" t="s">
        <v>11</v>
      </c>
      <c r="W43" s="1560">
        <f t="shared" si="14"/>
        <v>100</v>
      </c>
      <c r="X43" s="1553"/>
      <c r="Y43" s="3513"/>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513"/>
      <c r="Q44" s="1146">
        <f t="shared" si="11"/>
        <v>111</v>
      </c>
      <c r="R44" s="1554" t="s">
        <v>11</v>
      </c>
      <c r="S44" s="1555">
        <f t="shared" si="12"/>
        <v>100</v>
      </c>
      <c r="T44" s="1554" t="s">
        <v>11</v>
      </c>
      <c r="U44" s="1555">
        <f t="shared" si="13"/>
        <v>100</v>
      </c>
      <c r="V44" s="1554" t="s">
        <v>11</v>
      </c>
      <c r="W44" s="1555">
        <f t="shared" si="14"/>
        <v>100</v>
      </c>
      <c r="X44" s="1556"/>
      <c r="Y44" s="3513"/>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513"/>
      <c r="Q45" s="1558">
        <f t="shared" si="11"/>
        <v>111</v>
      </c>
      <c r="R45" s="1559" t="s">
        <v>11</v>
      </c>
      <c r="S45" s="1560">
        <f t="shared" si="12"/>
        <v>100</v>
      </c>
      <c r="T45" s="1559" t="s">
        <v>11</v>
      </c>
      <c r="U45" s="1560">
        <f t="shared" si="13"/>
        <v>100</v>
      </c>
      <c r="V45" s="1559" t="s">
        <v>11</v>
      </c>
      <c r="W45" s="1560">
        <f t="shared" si="14"/>
        <v>100</v>
      </c>
      <c r="X45" s="1553"/>
      <c r="Y45" s="3513"/>
      <c r="Z45" s="1561">
        <f t="shared" si="15"/>
        <v>111</v>
      </c>
      <c r="AA45" s="1562">
        <f t="shared" si="3"/>
        <v>1</v>
      </c>
      <c r="AB45" s="1562">
        <f t="shared" si="4"/>
        <v>1</v>
      </c>
      <c r="AC45" s="1562">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71"/>
      <c r="Q46" s="1558">
        <f t="shared" si="11"/>
        <v>111</v>
      </c>
      <c r="R46" s="1559" t="s">
        <v>10</v>
      </c>
      <c r="S46" s="1560">
        <f t="shared" si="12"/>
        <v>100</v>
      </c>
      <c r="T46" s="1559" t="s">
        <v>10</v>
      </c>
      <c r="U46" s="1560">
        <f t="shared" si="13"/>
        <v>100</v>
      </c>
      <c r="V46" s="1559" t="s">
        <v>10</v>
      </c>
      <c r="W46" s="1560">
        <f t="shared" si="14"/>
        <v>100</v>
      </c>
      <c r="X46" s="1553"/>
      <c r="Y46" s="3571"/>
      <c r="Z46" s="1561">
        <f t="shared" si="15"/>
        <v>111</v>
      </c>
      <c r="AA46" s="1562">
        <f t="shared" si="3"/>
        <v>1</v>
      </c>
      <c r="AB46" s="1562">
        <f t="shared" si="4"/>
        <v>1</v>
      </c>
      <c r="AC46" s="1562">
        <f t="shared" si="5"/>
        <v>1</v>
      </c>
    </row>
    <row r="47" spans="1:29" ht="15">
      <c r="A47" s="607" t="s">
        <v>735</v>
      </c>
      <c r="B47" s="886"/>
      <c r="C47" s="2591" t="s">
        <v>9</v>
      </c>
      <c r="D47" s="2592"/>
      <c r="E47" s="2593">
        <v>29607</v>
      </c>
      <c r="F47" s="2594"/>
      <c r="G47" s="2595">
        <v>29712</v>
      </c>
      <c r="H47" s="2596"/>
      <c r="I47" s="2593">
        <v>29185</v>
      </c>
      <c r="J47" s="2596"/>
      <c r="K47" s="1591"/>
      <c r="L47" s="2129"/>
      <c r="M47" s="2130"/>
      <c r="N47" s="2119"/>
      <c r="O47" s="2130"/>
      <c r="P47" s="3476" t="str">
        <f>A47</f>
        <v>成交单价（元/平方米）</v>
      </c>
      <c r="Q47" s="3476"/>
      <c r="R47" s="3570">
        <f>E47</f>
        <v>29607</v>
      </c>
      <c r="S47" s="3570"/>
      <c r="T47" s="3570">
        <f>G47</f>
        <v>29712</v>
      </c>
      <c r="U47" s="3570"/>
      <c r="V47" s="3570">
        <f>I47</f>
        <v>29185</v>
      </c>
      <c r="W47" s="3570"/>
      <c r="X47" s="1545"/>
      <c r="Y47" s="1567"/>
      <c r="Z47" s="1545"/>
      <c r="AA47" s="1545"/>
      <c r="AB47" s="1545"/>
      <c r="AC47" s="1545"/>
    </row>
    <row r="48" spans="1:29" ht="15.75" thickBot="1">
      <c r="A48" s="615" t="s">
        <v>2753</v>
      </c>
      <c r="B48" s="887"/>
      <c r="C48" s="2597">
        <f>R49</f>
        <v>30862</v>
      </c>
      <c r="D48" s="2598"/>
      <c r="E48" s="2599">
        <f>R48</f>
        <v>31178</v>
      </c>
      <c r="F48" s="2599"/>
      <c r="G48" s="2597">
        <f>T48</f>
        <v>31288</v>
      </c>
      <c r="H48" s="2598"/>
      <c r="I48" s="2599">
        <f>V48</f>
        <v>30119</v>
      </c>
      <c r="J48" s="2598"/>
      <c r="K48" s="1592"/>
      <c r="L48" s="2129"/>
      <c r="M48" s="2130"/>
      <c r="N48" s="2130"/>
      <c r="O48" s="2130"/>
      <c r="P48" s="3476" t="str">
        <f>A48</f>
        <v>比较价格（元/平方米）</v>
      </c>
      <c r="Q48" s="3476"/>
      <c r="R48" s="3570">
        <f>IF(F1="售价",ROUND(PRODUCT(R47,AA7:AA46),0),ROUND(PRODUCT(R47,AA7:AA46),1))</f>
        <v>31178</v>
      </c>
      <c r="S48" s="3570"/>
      <c r="T48" s="3570">
        <f>IF(F1="售价",ROUND(PRODUCT(T47,AB7:AB46),0),ROUND(PRODUCT(T47,AB7:AB46),1))</f>
        <v>31288</v>
      </c>
      <c r="U48" s="3570"/>
      <c r="V48" s="3570">
        <f>IF(F1="售价",ROUND(PRODUCT(V47,AC7:AC46),0),ROUND(PRODUCT(V47,AC7:AC46),1))</f>
        <v>30119</v>
      </c>
      <c r="W48" s="3570"/>
      <c r="X48" s="1545"/>
      <c r="Y48" s="1545"/>
      <c r="Z48" s="1545"/>
      <c r="AA48" s="1545"/>
      <c r="AB48" s="1545"/>
      <c r="AC48" s="1545"/>
    </row>
    <row r="49" spans="1:29" ht="15.75" thickBot="1">
      <c r="A49" s="621" t="s">
        <v>2922</v>
      </c>
      <c r="B49" s="622"/>
      <c r="C49" s="2600">
        <f>R49</f>
        <v>30862</v>
      </c>
      <c r="D49" s="2600"/>
      <c r="E49" s="2600"/>
      <c r="F49" s="2600"/>
      <c r="G49" s="2600"/>
      <c r="H49" s="2600"/>
      <c r="I49" s="2600"/>
      <c r="J49" s="2600"/>
      <c r="K49" s="1593"/>
      <c r="L49" s="2129"/>
      <c r="M49" s="2130"/>
      <c r="N49" s="2130"/>
      <c r="O49" s="2130"/>
      <c r="P49" s="3473" t="str">
        <f>A49</f>
        <v>估价对象XX用房的比较价格（楼面单价，元/平方米）</v>
      </c>
      <c r="Q49" s="3474"/>
      <c r="R49" s="3569">
        <f>IF(F1="售价",ROUND(AVERAGE(R48:V48),0),ROUND(AVERAGE(R48:V48),1))</f>
        <v>30862</v>
      </c>
      <c r="S49" s="3569"/>
      <c r="T49" s="3569"/>
      <c r="U49" s="3569"/>
      <c r="V49" s="3569"/>
      <c r="W49" s="356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5.3061775931367627E-2</v>
      </c>
      <c r="F52" s="627" t="str">
        <f>IF(OR(E52&gt;=0.3,E52&lt;=-0.3),"超过30%","")</f>
        <v/>
      </c>
      <c r="G52" s="626">
        <f>IF(G47&lt;G48,G48/G47-1,G47/G48-1)</f>
        <v>5.3042541733979487E-2</v>
      </c>
      <c r="H52" s="627" t="str">
        <f>IF(OR(G52&gt;=0.3,G52&lt;=-0.3),"超过30%","")</f>
        <v/>
      </c>
      <c r="I52" s="626">
        <f>IF(I47&lt;I48,I48/I47-1,I47/I48-1)</f>
        <v>3.2002741134144141E-2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3.5281288087753992E-3</v>
      </c>
      <c r="F53" s="627" t="str">
        <f>IF(OR(E53&gt;=0.2,E53&lt;=-0.2),"超过20%","")</f>
        <v/>
      </c>
      <c r="G53" s="626">
        <f>IF(G48&lt;I48,I48/G48-1,G48/I48-1)</f>
        <v>3.8812709585311689E-2</v>
      </c>
      <c r="H53" s="627" t="str">
        <f>IF(OR(G53&gt;=0.2,G53&lt;=-0.2),"超过20%","")</f>
        <v/>
      </c>
      <c r="I53" s="626">
        <f>IF(I48&lt;E48,E48/I48-1,I48/E48-1)</f>
        <v>3.5160529898071058E-2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3.5464586077615934E-3</v>
      </c>
      <c r="F54" s="627" t="str">
        <f>IF(OR(E54&gt;=0.3,E54&lt;=-0.3),"超过30%","")</f>
        <v/>
      </c>
      <c r="G54" s="626">
        <f>IF(G47&lt;I47,I47/G47-1,G47/I47-1)</f>
        <v>1.8057221175261207E-2</v>
      </c>
      <c r="H54" s="627" t="str">
        <f>IF(OR(G54&gt;=0.3,G54&lt;=-0.3),"超过30%","")</f>
        <v/>
      </c>
      <c r="I54" s="626">
        <f>IF(I47&lt;E47,E47/I47-1,I47/E47-1)</f>
        <v>1.445948261093033E-2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v>100</v>
      </c>
      <c r="E59" s="650">
        <v>100</v>
      </c>
      <c r="F59" s="650">
        <v>100</v>
      </c>
      <c r="G59" s="650">
        <v>100</v>
      </c>
      <c r="H59" s="650">
        <v>100</v>
      </c>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v>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2550</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2551</v>
      </c>
      <c r="C82" s="2562" t="s">
        <v>2552</v>
      </c>
      <c r="D82" s="2562" t="s">
        <v>2553</v>
      </c>
      <c r="E82" s="2562" t="s">
        <v>2554</v>
      </c>
      <c r="F82" s="2562" t="s">
        <v>2555</v>
      </c>
      <c r="G82" s="2562" t="s">
        <v>2556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95</v>
      </c>
      <c r="E85" s="679">
        <f>D85-$K23</f>
        <v>90</v>
      </c>
      <c r="F85" s="679">
        <f>E85-$K23</f>
        <v>85</v>
      </c>
      <c r="G85" s="679">
        <f>F85-$K23</f>
        <v>80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3190" t="s">
        <v>3493</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500000(含)-1000000</v>
      </c>
      <c r="I102" s="708" t="str">
        <f t="shared" si="23"/>
        <v>1000000(含)-2000000</v>
      </c>
      <c r="J102" s="708" t="str">
        <f t="shared" si="23"/>
        <v>2000000(含)-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100000</v>
      </c>
      <c r="E103" s="730">
        <v>200000</v>
      </c>
      <c r="F103" s="730">
        <v>300000</v>
      </c>
      <c r="G103" s="730">
        <v>400000</v>
      </c>
      <c r="H103" s="730">
        <v>500000</v>
      </c>
      <c r="I103" s="730">
        <v>1000000</v>
      </c>
      <c r="J103" s="731">
        <v>2000000</v>
      </c>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f>C104+1</f>
        <v>101</v>
      </c>
      <c r="E104" s="671">
        <f t="shared" ref="E104:I104" si="24">D104+1</f>
        <v>102</v>
      </c>
      <c r="F104" s="671">
        <f t="shared" si="24"/>
        <v>103</v>
      </c>
      <c r="G104" s="671">
        <f t="shared" si="24"/>
        <v>104</v>
      </c>
      <c r="H104" s="671">
        <f t="shared" si="24"/>
        <v>105</v>
      </c>
      <c r="I104" s="671">
        <f t="shared" si="24"/>
        <v>106</v>
      </c>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83" t="s">
        <v>3480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82" t="s">
        <v>3481</v>
      </c>
      <c r="D107" s="3182" t="s">
        <v>3483</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83" t="s">
        <v>3484</v>
      </c>
      <c r="D109" s="3183" t="s">
        <v>3485</v>
      </c>
      <c r="E109" s="3183" t="s">
        <v>3487</v>
      </c>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83" t="s">
        <v>3489</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2549</v>
      </c>
      <c r="C116" s="3183" t="s">
        <v>3490</v>
      </c>
      <c r="D116" s="3183" t="s">
        <v>3491</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83" t="s">
        <v>3484</v>
      </c>
      <c r="D122" s="3183" t="s">
        <v>3485</v>
      </c>
      <c r="E122" s="3183" t="s">
        <v>3487</v>
      </c>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2283</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2284</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H45" sqref="H4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3409</v>
      </c>
      <c r="D1" s="3074" t="s">
        <v>3452</v>
      </c>
      <c r="E1" s="2351" t="s">
        <v>2368</v>
      </c>
      <c r="F1" s="2352">
        <f ca="1">J53</f>
        <v>30.5</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30344</v>
      </c>
      <c r="C2" s="2042"/>
      <c r="D2" s="2040"/>
      <c r="E2" s="2041"/>
      <c r="F2" s="2041"/>
      <c r="G2" s="1576"/>
      <c r="H2" s="2042"/>
      <c r="I2" s="2042"/>
      <c r="J2" s="2042"/>
      <c r="K2" s="2043"/>
      <c r="L2" s="2042"/>
      <c r="M2" s="2042"/>
    </row>
    <row r="3" spans="1:33" ht="18" customHeight="1" thickBot="1">
      <c r="A3" s="833" t="s">
        <v>1726</v>
      </c>
      <c r="B3" s="834">
        <f ca="1">IF(ISERROR(B2*10000/F43),0,ROUND(B2*10000/F43,0))</f>
        <v>30906</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2451</v>
      </c>
      <c r="C5" s="55">
        <f ca="1">C6+C10+C12</f>
        <v>1815</v>
      </c>
      <c r="D5" s="2460" t="s">
        <v>2454</v>
      </c>
      <c r="E5" s="2454"/>
      <c r="F5" s="2455"/>
      <c r="G5" s="1578"/>
      <c r="H5" s="781">
        <v>1</v>
      </c>
      <c r="I5" s="782" t="s">
        <v>2451</v>
      </c>
      <c r="J5" s="55">
        <f ca="1">J6+J10+J12</f>
        <v>0</v>
      </c>
      <c r="K5" s="2460" t="s">
        <v>2454</v>
      </c>
      <c r="L5" s="2454"/>
      <c r="M5" s="2455"/>
    </row>
    <row r="6" spans="1:33" ht="18" customHeight="1">
      <c r="A6" s="1815" t="s">
        <v>1823</v>
      </c>
      <c r="B6" s="3563" t="s">
        <v>2456</v>
      </c>
      <c r="C6" s="783">
        <f ca="1">ROUND(F6*F8*F7*(1-F9)/10000,0)</f>
        <v>1813</v>
      </c>
      <c r="D6" s="2461" t="s">
        <v>2455</v>
      </c>
      <c r="E6" s="784" t="s">
        <v>1737</v>
      </c>
      <c r="F6" s="785">
        <f ca="1">INDIRECT("'数据-取费表'!u"&amp;$G$1)</f>
        <v>5.5</v>
      </c>
      <c r="G6" s="1578"/>
      <c r="H6" s="2468" t="s">
        <v>2461</v>
      </c>
      <c r="I6" s="3563" t="s">
        <v>2456</v>
      </c>
      <c r="J6" s="783">
        <f ca="1">ROUND(M6*M8*M7*(1-M9)/10000,0)</f>
        <v>0</v>
      </c>
      <c r="K6" s="341" t="s">
        <v>1736</v>
      </c>
      <c r="L6" s="784" t="s">
        <v>1737</v>
      </c>
      <c r="M6" s="785">
        <f ca="1">INDIRECT("'数据-取费表'!z"&amp;$G$1)</f>
        <v>0</v>
      </c>
    </row>
    <row r="7" spans="1:33" ht="18" customHeight="1">
      <c r="A7" s="2464"/>
      <c r="B7" s="3564"/>
      <c r="C7" s="788"/>
      <c r="D7" s="789"/>
      <c r="E7" s="784" t="s">
        <v>1738</v>
      </c>
      <c r="F7" s="785">
        <f ca="1">IF(INDIRECT("'数据-取费表'!ah"&amp;$G$1)="",INDIRECT("'数据-取费表'!k"&amp;$G$1),INDIRECT("'数据-取费表'!ah"&amp;$G$1))</f>
        <v>9818.2000000000007</v>
      </c>
      <c r="G7" s="1578"/>
      <c r="H7" s="2453"/>
      <c r="I7" s="3564"/>
      <c r="J7" s="788"/>
      <c r="K7" s="789"/>
      <c r="L7" s="784" t="s">
        <v>1738</v>
      </c>
      <c r="M7" s="785">
        <f ca="1">F7</f>
        <v>9818.2000000000007</v>
      </c>
    </row>
    <row r="8" spans="1:33" ht="18" customHeight="1">
      <c r="A8" s="2457"/>
      <c r="B8" s="3565"/>
      <c r="C8" s="788"/>
      <c r="D8" s="789"/>
      <c r="E8" s="784" t="s">
        <v>1739</v>
      </c>
      <c r="F8" s="785">
        <f ca="1">INDIRECT("'数据-取费表'!ai"&amp;$G$1)</f>
        <v>365</v>
      </c>
      <c r="G8" s="1578"/>
      <c r="H8" s="2453"/>
      <c r="I8" s="3565"/>
      <c r="J8" s="788"/>
      <c r="K8" s="789"/>
      <c r="L8" s="784" t="s">
        <v>1739</v>
      </c>
      <c r="M8" s="785">
        <f ca="1">INDIRECT("'数据-取费表'!ai"&amp;$G$1)</f>
        <v>365</v>
      </c>
    </row>
    <row r="9" spans="1:33" ht="18" customHeight="1">
      <c r="A9" s="786"/>
      <c r="B9" s="3566"/>
      <c r="C9" s="788"/>
      <c r="D9" s="789"/>
      <c r="E9" s="784" t="s">
        <v>1740</v>
      </c>
      <c r="F9" s="794">
        <f ca="1">INDIRECT("'数据-取费表'!w"&amp;$G$1)</f>
        <v>0.08</v>
      </c>
      <c r="G9" s="1578"/>
      <c r="H9" s="2469"/>
      <c r="I9" s="3565"/>
      <c r="J9" s="788"/>
      <c r="K9" s="789"/>
      <c r="L9" s="795" t="s">
        <v>1740</v>
      </c>
      <c r="M9" s="796">
        <f ca="1">INDIRECT("'数据-取费表'!ab"&amp;$G$1)</f>
        <v>0</v>
      </c>
    </row>
    <row r="10" spans="1:33" ht="18" customHeight="1">
      <c r="A10" s="1815" t="s">
        <v>2459</v>
      </c>
      <c r="B10" s="2458" t="s">
        <v>2452</v>
      </c>
      <c r="C10" s="799">
        <f ca="1">ROUND(IF(F10="押一",C6/12*F11,IF(F10="押二",C6/12*2*F11,IF(F10="押三",C6/12*3*F11,C11*F11))),0)</f>
        <v>2</v>
      </c>
      <c r="D10" s="2465" t="s">
        <v>2961</v>
      </c>
      <c r="E10" s="2462" t="s">
        <v>2457</v>
      </c>
      <c r="F10" s="2585" t="s">
        <v>3453</v>
      </c>
      <c r="G10" s="1578"/>
      <c r="H10" s="2525" t="s">
        <v>2462</v>
      </c>
      <c r="I10" s="2530" t="s">
        <v>2452</v>
      </c>
      <c r="J10" s="783">
        <f ca="1">ROUND(IF(M10="押一",J6/12*M11,IF(M10="押二",J6/12*2*M11,IF(M10="押三",J6/12*3*M11,J11*M11))),0)</f>
        <v>0</v>
      </c>
      <c r="K10" s="2465" t="s">
        <v>2961</v>
      </c>
      <c r="L10" s="2462" t="s">
        <v>2457</v>
      </c>
      <c r="M10" s="2585"/>
    </row>
    <row r="11" spans="1:33" ht="18" customHeight="1">
      <c r="A11" s="790"/>
      <c r="B11" s="2459" t="s">
        <v>2566</v>
      </c>
      <c r="C11" s="2463"/>
      <c r="D11" s="789"/>
      <c r="E11" s="2462" t="s">
        <v>2458</v>
      </c>
      <c r="F11" s="796">
        <f ca="1">'数据-取费表'!B39</f>
        <v>1.4999999999999999E-2</v>
      </c>
      <c r="G11" s="1578"/>
      <c r="H11" s="2526"/>
      <c r="I11" s="2459" t="s">
        <v>2566</v>
      </c>
      <c r="J11" s="2463"/>
      <c r="K11" s="2527"/>
      <c r="L11" s="2462" t="s">
        <v>2458</v>
      </c>
      <c r="M11" s="2456">
        <f ca="1">'数据-取费表'!B39</f>
        <v>1.4999999999999999E-2</v>
      </c>
    </row>
    <row r="12" spans="1:33" ht="18" customHeight="1" thickBot="1">
      <c r="A12" s="2501" t="s">
        <v>2460</v>
      </c>
      <c r="B12" s="2502" t="s">
        <v>2453</v>
      </c>
      <c r="C12" s="2503"/>
      <c r="D12" s="2504"/>
      <c r="E12" s="2505"/>
      <c r="F12" s="2506"/>
      <c r="G12" s="1578"/>
      <c r="H12" s="2515" t="s">
        <v>2463</v>
      </c>
      <c r="I12" s="2528" t="s">
        <v>2453</v>
      </c>
      <c r="J12" s="2529"/>
      <c r="K12" s="2504"/>
      <c r="L12" s="2505"/>
      <c r="M12" s="2518"/>
    </row>
    <row r="13" spans="1:33" ht="18" customHeight="1" thickTop="1">
      <c r="A13" s="1814">
        <v>2</v>
      </c>
      <c r="B13" s="1812" t="s">
        <v>1741</v>
      </c>
      <c r="C13" s="792">
        <f ca="1">ROUND(C29*F13,0)</f>
        <v>3754</v>
      </c>
      <c r="D13" s="1819" t="s">
        <v>2293</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2482</v>
      </c>
      <c r="D14" s="1964" t="s">
        <v>1744</v>
      </c>
      <c r="E14" s="1965"/>
      <c r="F14" s="805"/>
      <c r="G14" s="1578"/>
      <c r="H14" s="1634" t="s">
        <v>1829</v>
      </c>
      <c r="I14" s="2216" t="s">
        <v>2819</v>
      </c>
      <c r="J14" s="53">
        <f ca="1">C29</f>
        <v>3754</v>
      </c>
      <c r="K14" s="26"/>
      <c r="L14" s="801"/>
      <c r="M14" s="802"/>
    </row>
    <row r="15" spans="1:33" s="2049" customFormat="1" ht="18" customHeight="1" thickBot="1">
      <c r="A15" s="1633" t="s">
        <v>1884</v>
      </c>
      <c r="B15" s="784" t="s">
        <v>646</v>
      </c>
      <c r="C15" s="53">
        <f ca="1">ROUND(C14*F15,0)</f>
        <v>74</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336</v>
      </c>
      <c r="K16" s="1806" t="s">
        <v>1749</v>
      </c>
      <c r="L16" s="2450"/>
      <c r="M16" s="2455"/>
    </row>
    <row r="17" spans="1:33" s="2049" customFormat="1" ht="18" customHeight="1">
      <c r="A17" s="1633" t="s">
        <v>1886</v>
      </c>
      <c r="B17" s="784" t="s">
        <v>652</v>
      </c>
      <c r="C17" s="53">
        <f ca="1">ROUND(F17*(F43+INDIRECT("'数据-取费表'!S"&amp;$G$1))/10000,0)</f>
        <v>179</v>
      </c>
      <c r="D17" s="784" t="s">
        <v>1750</v>
      </c>
      <c r="E17" s="784" t="s">
        <v>1751</v>
      </c>
      <c r="F17" s="56">
        <f>'数据-取费表'!B35</f>
        <v>180</v>
      </c>
      <c r="G17" s="1579"/>
      <c r="H17" s="1634" t="s">
        <v>1829</v>
      </c>
      <c r="I17" s="784" t="s">
        <v>655</v>
      </c>
      <c r="J17" s="53">
        <f ca="1">ROUND(IF(项目基本情况!B11="自然人",J5*M17,J18+J19+J20),0)</f>
        <v>317</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37</v>
      </c>
      <c r="D18" s="784" t="s">
        <v>1745</v>
      </c>
      <c r="E18" s="784" t="s">
        <v>1746</v>
      </c>
      <c r="F18" s="809">
        <f>'数据-取费表'!B36</f>
        <v>1.4999999999999999E-2</v>
      </c>
      <c r="G18" s="1579"/>
      <c r="H18" s="1633" t="s">
        <v>1883</v>
      </c>
      <c r="I18" s="784" t="s">
        <v>1754</v>
      </c>
      <c r="J18" s="53">
        <f ca="1">ROUND(J5*M18/1.05,1)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2772</v>
      </c>
      <c r="D19" s="261" t="s">
        <v>1756</v>
      </c>
      <c r="E19" s="1967"/>
      <c r="F19" s="56"/>
      <c r="G19" s="1578"/>
      <c r="H19" s="1633" t="s">
        <v>1884</v>
      </c>
      <c r="I19" s="784" t="s">
        <v>1757</v>
      </c>
      <c r="J19" s="53">
        <f ca="1">IF(K19="按租金收入计税",ROUND(J5*M19,1),ROUND(C29*F33*0.7,1))</f>
        <v>315.3</v>
      </c>
      <c r="K19" s="811" t="s">
        <v>664</v>
      </c>
      <c r="L19" s="784" t="s">
        <v>1746</v>
      </c>
      <c r="M19" s="809">
        <f>IF(K19="按租金收入计税",'数据-取费表'!B51,'数据-取费表'!B50)</f>
        <v>1.2E-2</v>
      </c>
    </row>
    <row r="20" spans="1:33" s="2049" customFormat="1" ht="18" customHeight="1">
      <c r="A20" s="1634" t="s">
        <v>1888</v>
      </c>
      <c r="B20" s="784" t="s">
        <v>665</v>
      </c>
      <c r="C20" s="53">
        <f ca="1">ROUND(C19*F20,0)</f>
        <v>83</v>
      </c>
      <c r="D20" s="812" t="s">
        <v>1758</v>
      </c>
      <c r="E20" s="784" t="s">
        <v>1746</v>
      </c>
      <c r="F20" s="809">
        <f>'数据-取费表'!B37</f>
        <v>0.03</v>
      </c>
      <c r="G20" s="1579"/>
      <c r="H20" s="1636" t="s">
        <v>1879</v>
      </c>
      <c r="I20" s="341" t="s">
        <v>1759</v>
      </c>
      <c r="J20" s="54">
        <f ca="1">ROUND(M20*M21/10000,0)</f>
        <v>2</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2294</v>
      </c>
      <c r="E21" s="784" t="s">
        <v>1764</v>
      </c>
      <c r="F21" s="809">
        <f>'数据-取费表'!B38</f>
        <v>0.03</v>
      </c>
      <c r="G21" s="1579"/>
      <c r="H21" s="2470"/>
      <c r="I21" s="793"/>
      <c r="J21" s="69"/>
      <c r="K21" s="816"/>
      <c r="L21" s="784" t="s">
        <v>1765</v>
      </c>
      <c r="M21" s="785">
        <f ca="1">INDIRECT("'数据-取费表'!r"&amp;$G$1)</f>
        <v>3193.48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19</v>
      </c>
      <c r="K22" s="2448" t="s">
        <v>1768</v>
      </c>
      <c r="L22" s="784" t="s">
        <v>1746</v>
      </c>
      <c r="M22" s="817">
        <f ca="1">INDIRECT("'数据-取费表'!Ak"&amp;$G$1)</f>
        <v>5.0000000000000001E-3</v>
      </c>
    </row>
    <row r="23" spans="1:33" s="2049" customFormat="1" ht="18" customHeight="1">
      <c r="A23" s="1633" t="s">
        <v>1830</v>
      </c>
      <c r="B23" s="784" t="s">
        <v>2528</v>
      </c>
      <c r="C23" s="53">
        <f ca="1">ROUND(IF('数据-取费表'!B22&lt;=1,(C19+C20)*F24*F23/2,(C19+C20)*(POWER((1+F24),F23/2)-1)),0)</f>
        <v>136</v>
      </c>
      <c r="D23" s="2535" t="str">
        <f>IF(F23&lt;=1,"(建造成本+管理费用)×利率×(建设周期÷2)","(建造成本+管理费用)×((1+利率)^(建设周期÷2)-1)")</f>
        <v>(建造成本+管理费用)×((1+利率)^(建设周期÷2)-1)</v>
      </c>
      <c r="E23" s="784" t="s">
        <v>1769</v>
      </c>
      <c r="F23" s="640">
        <f>'数据-取费表'!B20</f>
        <v>2</v>
      </c>
      <c r="G23" s="1579"/>
      <c r="H23" s="1634" t="s">
        <v>1889</v>
      </c>
      <c r="I23" s="784" t="s">
        <v>678</v>
      </c>
      <c r="J23" s="53">
        <f ca="1">ROUND(J13*M23,0)</f>
        <v>0</v>
      </c>
      <c r="K23" s="2448" t="s">
        <v>1770</v>
      </c>
      <c r="L23" s="784" t="s">
        <v>1746</v>
      </c>
      <c r="M23" s="818">
        <f ca="1">INDIRECT("'数据-取费表'!Al"&amp;$G$1)</f>
        <v>1E-3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1.4E-3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5.0000000000000001E-3</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1" t="s">
        <v>2815</v>
      </c>
      <c r="J25" s="792">
        <f ca="1">J5-J16</f>
        <v>-336</v>
      </c>
      <c r="K25" s="2512" t="s">
        <v>1776</v>
      </c>
      <c r="L25" s="2513"/>
      <c r="M25" s="2514"/>
    </row>
    <row r="26" spans="1:33" ht="18" customHeight="1">
      <c r="A26" s="1633" t="s">
        <v>1830</v>
      </c>
      <c r="B26" s="784" t="s">
        <v>2432</v>
      </c>
      <c r="C26" s="53">
        <f ca="1">ROUND((C19+C20)*F26,0)</f>
        <v>428</v>
      </c>
      <c r="D26" s="812" t="s">
        <v>1777</v>
      </c>
      <c r="E26" s="795" t="s">
        <v>1778</v>
      </c>
      <c r="F26" s="794">
        <f ca="1">INDIRECT("'数据-取费表'!q"&amp;$G$1)</f>
        <v>0.15</v>
      </c>
      <c r="G26" s="1578"/>
      <c r="H26" s="2466" t="s">
        <v>1779</v>
      </c>
      <c r="I26" s="2217" t="s">
        <v>2820</v>
      </c>
      <c r="J26" s="783">
        <f ca="1">IF(J5&lt;&gt;0,ROUND(J25*(1-((1+M28)/(1+M26))^M27)/(M26-M28),0),0)</f>
        <v>0</v>
      </c>
      <c r="K26" s="814" t="s">
        <v>1780</v>
      </c>
      <c r="L26" s="784" t="s">
        <v>2413</v>
      </c>
      <c r="M26" s="794">
        <f ca="1">INDIRECT("'数据-取费表'!I"&amp;$G$1)</f>
        <v>0.06</v>
      </c>
    </row>
    <row r="27" spans="1:33" ht="18" customHeight="1">
      <c r="A27" s="1633" t="s">
        <v>1831</v>
      </c>
      <c r="B27" s="784" t="s">
        <v>685</v>
      </c>
      <c r="C27" s="53">
        <f ca="1">ROUND(F21*F26,4)</f>
        <v>4.4999999999999997E-3</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2295</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2296</v>
      </c>
      <c r="C29" s="2508">
        <f ca="1">ROUND((C19+C20+C23+C26)/(1-F21-C24-C27-C28),0)</f>
        <v>3754</v>
      </c>
      <c r="D29" s="2509"/>
      <c r="E29" s="2510"/>
      <c r="F29" s="2511"/>
      <c r="G29" s="1579"/>
      <c r="H29" s="823" t="s">
        <v>1786</v>
      </c>
      <c r="I29" s="824" t="s">
        <v>1787</v>
      </c>
      <c r="J29" s="825">
        <f ca="1">ROUND(J26/(1+F40)^F41,0)</f>
        <v>0</v>
      </c>
      <c r="K29" s="826" t="s">
        <v>1788</v>
      </c>
      <c r="L29" s="827"/>
      <c r="M29" s="828">
        <f ca="1">INDIRECT("'数据-取费表'!k"&amp;$G$1)</f>
        <v>9818.2000000000007</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348</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ROUND(IF(项目基本情况!B11="自然人",C5*F31,C32+C33+C34),1)</f>
        <v>316.2</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ROUND(C5*F32/1.05,1)</f>
        <v>96.8</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IF(D33="按租金收入计税",ROUND(C5*F33,1),IF(D33="按房产原值计税",ROUND(C29*F33*0.7,1),INDIRECT("'数据-取费表'!Aj"&amp;$G$1)))</f>
        <v>217.8</v>
      </c>
      <c r="D33" s="811" t="s">
        <v>3454</v>
      </c>
      <c r="E33" s="784" t="s">
        <v>1795</v>
      </c>
      <c r="F33" s="809">
        <f>IF(D33="按租金收入计税",'数据-取费表'!B51,'数据-取费表'!B50)</f>
        <v>0.12</v>
      </c>
      <c r="G33" s="2047"/>
      <c r="H33" s="2062"/>
      <c r="I33" s="2062"/>
      <c r="J33" s="2062"/>
      <c r="K33" s="2063"/>
      <c r="L33" s="2062"/>
      <c r="M33" s="2062"/>
    </row>
    <row r="34" spans="1:18" ht="18" customHeight="1">
      <c r="A34" s="1636" t="s">
        <v>1832</v>
      </c>
      <c r="B34" s="341" t="s">
        <v>1797</v>
      </c>
      <c r="C34" s="54">
        <f ca="1">ROUND(F34*F35/10000,1)</f>
        <v>1.6</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3193.48</v>
      </c>
      <c r="G35" s="2047"/>
      <c r="H35" s="2050"/>
      <c r="I35" s="837" t="s">
        <v>1813</v>
      </c>
      <c r="J35" s="838">
        <f ca="1">ROUND(C13*J36,0)</f>
        <v>0</v>
      </c>
      <c r="K35" s="2063"/>
      <c r="L35" s="2062"/>
      <c r="M35" s="2062"/>
    </row>
    <row r="36" spans="1:18" ht="18" customHeight="1">
      <c r="A36" s="1634" t="s">
        <v>1888</v>
      </c>
      <c r="B36" s="784" t="s">
        <v>1801</v>
      </c>
      <c r="C36" s="53">
        <f ca="1">ROUND(C29*F36,1)</f>
        <v>18.8</v>
      </c>
      <c r="D36" s="1962" t="s">
        <v>1802</v>
      </c>
      <c r="E36" s="784" t="s">
        <v>1795</v>
      </c>
      <c r="F36" s="817">
        <f ca="1">INDIRECT("'数据-取费表'!Ak"&amp;$G$1)</f>
        <v>5.0000000000000001E-3</v>
      </c>
      <c r="G36" s="2047"/>
      <c r="H36" s="2062"/>
      <c r="I36" s="839" t="s">
        <v>1814</v>
      </c>
      <c r="J36" s="840">
        <f ca="1">INDIRECT("'数据-取费表'!j"&amp;$G$1)</f>
        <v>0</v>
      </c>
      <c r="K36" s="2067"/>
      <c r="L36" s="2062"/>
      <c r="M36" s="2062"/>
    </row>
    <row r="37" spans="1:18" ht="18" customHeight="1">
      <c r="A37" s="1634" t="s">
        <v>1889</v>
      </c>
      <c r="B37" s="784" t="s">
        <v>678</v>
      </c>
      <c r="C37" s="53">
        <f ca="1">ROUND(C13*F37,1)</f>
        <v>3.8</v>
      </c>
      <c r="D37" s="1962" t="s">
        <v>1803</v>
      </c>
      <c r="E37" s="784" t="s">
        <v>1795</v>
      </c>
      <c r="F37" s="818">
        <f ca="1">INDIRECT("'数据-取费表'!Al"&amp;$G$1)</f>
        <v>1E-3</v>
      </c>
      <c r="G37" s="2047"/>
      <c r="H37" s="2062"/>
      <c r="I37" s="841" t="s">
        <v>1815</v>
      </c>
      <c r="J37" s="842"/>
      <c r="K37" s="2067"/>
      <c r="L37" s="2062"/>
      <c r="M37" s="2062"/>
    </row>
    <row r="38" spans="1:18" ht="18" customHeight="1" thickBot="1">
      <c r="A38" s="2515" t="s">
        <v>1890</v>
      </c>
      <c r="B38" s="2510" t="s">
        <v>665</v>
      </c>
      <c r="C38" s="2508">
        <f ca="1">ROUND(C5*F38,1)</f>
        <v>9.1</v>
      </c>
      <c r="D38" s="2509" t="s">
        <v>1804</v>
      </c>
      <c r="E38" s="2510" t="s">
        <v>1795</v>
      </c>
      <c r="F38" s="2506">
        <f ca="1">INDIRECT("'数据-取费表'!Am"&amp;$G$1)</f>
        <v>5.0000000000000001E-3</v>
      </c>
      <c r="G38" s="2047"/>
      <c r="H38" s="2062"/>
      <c r="I38" s="843" t="s">
        <v>1816</v>
      </c>
      <c r="J38" s="844"/>
      <c r="K38" s="2068"/>
      <c r="L38" s="2062"/>
      <c r="M38" s="2062"/>
    </row>
    <row r="39" spans="1:18" ht="24.6" customHeight="1" thickTop="1">
      <c r="A39" s="1814" t="s">
        <v>1893</v>
      </c>
      <c r="B39" s="2961" t="s">
        <v>2815</v>
      </c>
      <c r="C39" s="792">
        <f ca="1">C5-C30</f>
        <v>1467</v>
      </c>
      <c r="D39" s="2512" t="s">
        <v>1805</v>
      </c>
      <c r="E39" s="2513"/>
      <c r="F39" s="2514"/>
      <c r="G39" s="2047"/>
      <c r="H39" s="2062"/>
      <c r="I39" s="837" t="s">
        <v>1817</v>
      </c>
      <c r="J39" s="845">
        <f ca="1">ROUND(J35/C39,3)</f>
        <v>0</v>
      </c>
      <c r="K39" s="2068"/>
      <c r="L39" s="2062"/>
      <c r="M39" s="2062"/>
    </row>
    <row r="40" spans="1:18" ht="18" customHeight="1">
      <c r="A40" s="781" t="s">
        <v>1894</v>
      </c>
      <c r="B40" s="2217" t="s">
        <v>2297</v>
      </c>
      <c r="C40" s="783">
        <f ca="1">ROUND(C39*(1-((1+F42)/(1+F40))^F41)/(F40-F42),0)</f>
        <v>30344</v>
      </c>
      <c r="D40" s="814" t="s">
        <v>1806</v>
      </c>
      <c r="E40" s="784" t="s">
        <v>2413</v>
      </c>
      <c r="F40" s="794">
        <f ca="1">INDIRECT("'数据-取费表'!I"&amp;$G$1)</f>
        <v>0.06</v>
      </c>
      <c r="G40" s="2047"/>
      <c r="H40" s="2047"/>
      <c r="I40" s="837" t="s">
        <v>1818</v>
      </c>
      <c r="J40" s="845">
        <f ca="1">1-J39</f>
        <v>1</v>
      </c>
      <c r="K40" s="2068"/>
      <c r="L40" s="2047"/>
      <c r="M40" s="2047"/>
    </row>
    <row r="41" spans="1:18" ht="18" customHeight="1">
      <c r="A41" s="786"/>
      <c r="B41" s="787"/>
      <c r="C41" s="788"/>
      <c r="D41" s="821" t="s">
        <v>1807</v>
      </c>
      <c r="E41" s="784" t="s">
        <v>2951</v>
      </c>
      <c r="F41" s="822">
        <f ca="1">IF(INDIRECT("'数据-取费表'!af"&amp;$G$1)=0,INDIRECT("'数据-取费表'!ae"&amp;$G$1),INDIRECT("'数据-取费表'!af"&amp;$G$1))</f>
        <v>30.5</v>
      </c>
      <c r="G41" s="2047"/>
      <c r="H41" s="1973"/>
      <c r="I41" s="843" t="s">
        <v>1819</v>
      </c>
      <c r="J41" s="846"/>
      <c r="K41" s="2067"/>
      <c r="L41" s="1973"/>
      <c r="M41" s="1973"/>
    </row>
    <row r="42" spans="1:18" ht="18" customHeight="1">
      <c r="A42" s="790"/>
      <c r="B42" s="791"/>
      <c r="C42" s="792"/>
      <c r="D42" s="816"/>
      <c r="E42" s="784" t="s">
        <v>1808</v>
      </c>
      <c r="F42" s="794">
        <f ca="1">INDIRECT("'数据-取费表'!v"&amp;$G$1)</f>
        <v>3.5000000000000003E-2</v>
      </c>
      <c r="G42" s="2047"/>
      <c r="H42" s="1973"/>
      <c r="I42" s="847" t="s">
        <v>1820</v>
      </c>
      <c r="J42" s="845">
        <f ca="1">ROUND(C13/C40,3)</f>
        <v>0.124</v>
      </c>
      <c r="K42" s="2067"/>
      <c r="L42" s="1973"/>
      <c r="M42" s="1973"/>
    </row>
    <row r="43" spans="1:18" ht="18" customHeight="1" thickBot="1">
      <c r="A43" s="823" t="s">
        <v>1786</v>
      </c>
      <c r="B43" s="824" t="s">
        <v>1809</v>
      </c>
      <c r="C43" s="825">
        <f ca="1">ROUND(C40*10000/F43,0)</f>
        <v>30906</v>
      </c>
      <c r="D43" s="826" t="s">
        <v>1810</v>
      </c>
      <c r="E43" s="827" t="s">
        <v>1811</v>
      </c>
      <c r="F43" s="828">
        <f ca="1">INDIRECT("'数据-取费表'!k"&amp;$G$1)</f>
        <v>9818.2000000000007</v>
      </c>
      <c r="G43" s="2047"/>
      <c r="H43" s="1973"/>
      <c r="I43" s="847" t="s">
        <v>1821</v>
      </c>
      <c r="J43" s="848">
        <f ca="1">1-J42</f>
        <v>0.876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2291</v>
      </c>
      <c r="B46" s="2070"/>
      <c r="C46" s="2538">
        <f ca="1">C67-C40</f>
        <v>-30676</v>
      </c>
      <c r="D46" s="2070"/>
      <c r="E46" s="2070"/>
      <c r="F46" s="2070"/>
      <c r="I46" s="2342" t="s">
        <v>2337</v>
      </c>
      <c r="J46" s="2343"/>
      <c r="K46" s="2344"/>
      <c r="L46" s="3106">
        <f>IF(OR(M47="住宅",D1="土地（套用方法）"),0,IF(L48&gt;J51,L60,J60))</f>
        <v>0</v>
      </c>
      <c r="O46" s="2358" t="s">
        <v>2404</v>
      </c>
      <c r="P46" s="1578"/>
      <c r="Q46" s="1589"/>
      <c r="R46" s="1578"/>
    </row>
    <row r="47" spans="1:18" s="2044" customFormat="1" ht="18" customHeight="1" thickBot="1">
      <c r="A47" s="2336">
        <v>1</v>
      </c>
      <c r="B47" s="2337" t="s">
        <v>634</v>
      </c>
      <c r="C47" s="2538">
        <f ca="1">C48+C52+C54</f>
        <v>0</v>
      </c>
      <c r="D47" s="2070"/>
      <c r="E47" s="2070"/>
      <c r="F47" s="2070"/>
      <c r="I47" s="3096" t="s">
        <v>2338</v>
      </c>
      <c r="J47" s="2345" t="s">
        <v>3455</v>
      </c>
      <c r="K47" s="3103" t="s">
        <v>2343</v>
      </c>
      <c r="L47" s="3107">
        <f ca="1">INDIRECT("'数据-取费表'!d"&amp;$G$1)</f>
        <v>40</v>
      </c>
      <c r="M47" s="1589" t="str">
        <f>IF(ISNUMBER(FIND("住宅",C1)),"住宅","非住宅")</f>
        <v>非住宅</v>
      </c>
      <c r="O47" s="2359" t="s">
        <v>2369</v>
      </c>
      <c r="P47" s="2360" t="s">
        <v>2370</v>
      </c>
      <c r="Q47" s="2361" t="s">
        <v>2371</v>
      </c>
      <c r="R47" s="2360" t="s">
        <v>2372</v>
      </c>
    </row>
    <row r="48" spans="1:18" s="2044" customFormat="1" ht="18" customHeight="1" thickBot="1">
      <c r="A48" s="2606" t="s">
        <v>2530</v>
      </c>
      <c r="B48" s="2607" t="s">
        <v>2531</v>
      </c>
      <c r="C48" s="2338">
        <f ca="1">ROUND(F48*F50*F49*(1-F51)/10000,0)</f>
        <v>0</v>
      </c>
      <c r="D48" s="2339" t="s">
        <v>635</v>
      </c>
      <c r="E48" s="2340" t="s">
        <v>2292</v>
      </c>
      <c r="F48" s="2341"/>
      <c r="G48" s="2075"/>
      <c r="I48" s="3075" t="s">
        <v>2339</v>
      </c>
      <c r="J48" s="2346" t="s">
        <v>2344</v>
      </c>
      <c r="K48" s="3104" t="s">
        <v>2345</v>
      </c>
      <c r="L48" s="1893">
        <f ca="1">INDIRECT("'数据-取费表'!f"&amp;$G$1)</f>
        <v>32.5</v>
      </c>
      <c r="O48" s="2362" t="s">
        <v>2373</v>
      </c>
      <c r="P48" s="2363" t="s">
        <v>2399</v>
      </c>
      <c r="Q48" s="2364">
        <f ca="1">C40+J29</f>
        <v>30344</v>
      </c>
      <c r="R48" s="2363" t="s">
        <v>2374</v>
      </c>
    </row>
    <row r="49" spans="1:18" s="2044" customFormat="1" ht="18" customHeight="1" thickBot="1">
      <c r="A49" s="786"/>
      <c r="B49" s="787"/>
      <c r="C49" s="788"/>
      <c r="D49" s="789"/>
      <c r="E49" s="784" t="s">
        <v>1738</v>
      </c>
      <c r="F49" s="785">
        <f ca="1">F7</f>
        <v>9818.2000000000007</v>
      </c>
      <c r="G49" s="2075"/>
      <c r="H49" s="2078"/>
      <c r="I49" s="3075" t="s">
        <v>2340</v>
      </c>
      <c r="J49" s="2347">
        <v>2022</v>
      </c>
      <c r="K49" s="3105" t="s">
        <v>2346</v>
      </c>
      <c r="L49" s="2348"/>
      <c r="O49" s="2362" t="s">
        <v>2375</v>
      </c>
      <c r="P49" s="2363" t="s">
        <v>2400</v>
      </c>
      <c r="Q49" s="2364" t="str">
        <f ca="1">J60</f>
        <v>0</v>
      </c>
      <c r="R49" s="2363" t="s">
        <v>2376</v>
      </c>
    </row>
    <row r="50" spans="1:18" s="2044" customFormat="1" ht="18" customHeight="1" thickBot="1">
      <c r="A50" s="786"/>
      <c r="B50" s="787"/>
      <c r="C50" s="788"/>
      <c r="D50" s="789"/>
      <c r="E50" s="784" t="s">
        <v>1739</v>
      </c>
      <c r="F50" s="785">
        <f ca="1">F8</f>
        <v>365</v>
      </c>
      <c r="G50" s="2080"/>
      <c r="H50" s="2078"/>
      <c r="I50" s="3075" t="s">
        <v>2341</v>
      </c>
      <c r="J50" s="3100">
        <f>SUMPRODUCT((I63:I65=J47)*(J62:L62=J48)*(J63:L65))</f>
        <v>60</v>
      </c>
      <c r="K50" s="3105" t="s">
        <v>2347</v>
      </c>
      <c r="L50" s="2348"/>
      <c r="O50" s="2365" t="s">
        <v>2377</v>
      </c>
      <c r="P50" s="2363" t="s">
        <v>2401</v>
      </c>
      <c r="Q50" s="2364">
        <f ca="1">C29</f>
        <v>3754</v>
      </c>
      <c r="R50" s="2363" t="s">
        <v>2374</v>
      </c>
    </row>
    <row r="51" spans="1:18" s="2044" customFormat="1" ht="18" customHeight="1" thickBot="1">
      <c r="A51" s="786"/>
      <c r="B51" s="787"/>
      <c r="C51" s="788"/>
      <c r="D51" s="789"/>
      <c r="E51" s="784" t="s">
        <v>639</v>
      </c>
      <c r="F51" s="2335"/>
      <c r="H51" s="2078"/>
      <c r="I51" s="3097" t="s">
        <v>2342</v>
      </c>
      <c r="J51" s="3101">
        <f>IF(J49="",J50,J49+J50-YEAR('数据-取费表'!B2))</f>
        <v>63</v>
      </c>
      <c r="K51" s="3075" t="s">
        <v>2348</v>
      </c>
      <c r="L51" s="3108">
        <f ca="1">ROUND(-PV(INDIRECT("'数据-取费表'!h"&amp;$G$1),L48,(C39-C13*J36),0),0)</f>
        <v>21991</v>
      </c>
      <c r="O51" s="2365" t="s">
        <v>2378</v>
      </c>
      <c r="P51" s="2363" t="s">
        <v>2379</v>
      </c>
      <c r="Q51" s="2366" t="e">
        <f ca="1">J58</f>
        <v>#VALUE!</v>
      </c>
      <c r="R51" s="2367"/>
    </row>
    <row r="52" spans="1:18" s="2044" customFormat="1" ht="18" customHeight="1" thickBot="1">
      <c r="A52" s="781" t="s">
        <v>2529</v>
      </c>
      <c r="B52" s="2458" t="s">
        <v>2452</v>
      </c>
      <c r="C52" s="799">
        <f ca="1">ROUND(IF(F52="押一",C48/12*F11,IF(F52="押二",C48/12*2*F11,IF(F52="押三",C48/12*3*F11,C53*F11))),0)</f>
        <v>0</v>
      </c>
      <c r="D52" s="2465" t="s">
        <v>2962</v>
      </c>
      <c r="E52" s="2462" t="s">
        <v>2457</v>
      </c>
      <c r="F52" s="2585"/>
      <c r="I52" s="3098" t="s">
        <v>2415</v>
      </c>
      <c r="J52" s="2349"/>
      <c r="K52" s="3098" t="s">
        <v>2414</v>
      </c>
      <c r="L52" s="2349"/>
      <c r="O52" s="2365" t="s">
        <v>2380</v>
      </c>
      <c r="P52" s="2363" t="s">
        <v>2381</v>
      </c>
      <c r="Q52" s="2366">
        <f>J52</f>
        <v>0</v>
      </c>
      <c r="R52" s="2367"/>
    </row>
    <row r="53" spans="1:18" s="2044" customFormat="1" ht="39.75" customHeight="1" thickBot="1">
      <c r="A53" s="786"/>
      <c r="B53" s="2459" t="s">
        <v>2566</v>
      </c>
      <c r="C53" s="2463"/>
      <c r="D53" s="2465"/>
      <c r="E53" s="2462"/>
      <c r="F53" s="800"/>
      <c r="I53" s="3099" t="s">
        <v>2965</v>
      </c>
      <c r="J53" s="3102">
        <f ca="1">IF(M47="住宅",IF(D1="——",MAX(J51,L48),MAX(J51,L48-'数据-取费表'!B20)),IF(D1="——",MIN(J51,L48),MIN(J51,L48-'数据-取费表'!B20)))</f>
        <v>30.5</v>
      </c>
      <c r="K53" s="3574" t="s">
        <v>2953</v>
      </c>
      <c r="L53" s="3575"/>
      <c r="O53" s="2365" t="s">
        <v>2382</v>
      </c>
      <c r="P53" s="2363" t="s">
        <v>2383</v>
      </c>
      <c r="Q53" s="2364">
        <f ca="1">J53</f>
        <v>30.5</v>
      </c>
      <c r="R53" s="2363" t="s">
        <v>2384</v>
      </c>
    </row>
    <row r="54" spans="1:18" s="2044" customFormat="1" ht="18" customHeight="1" thickBot="1">
      <c r="A54" s="2501" t="s">
        <v>2460</v>
      </c>
      <c r="B54" s="2502" t="s">
        <v>2453</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2385</v>
      </c>
      <c r="P54" s="2363" t="s">
        <v>2402</v>
      </c>
      <c r="Q54" s="2364">
        <f ca="1">Q48+Q49</f>
        <v>30344</v>
      </c>
      <c r="R54" s="2367" t="s">
        <v>2386</v>
      </c>
    </row>
    <row r="55" spans="1:18" s="2044" customFormat="1" ht="18" customHeight="1" thickTop="1" thickBot="1">
      <c r="A55" s="797">
        <v>2</v>
      </c>
      <c r="B55" s="798" t="s">
        <v>643</v>
      </c>
      <c r="C55" s="799">
        <f ca="1">C13</f>
        <v>3754</v>
      </c>
      <c r="D55" s="795"/>
      <c r="E55" s="795"/>
      <c r="F55" s="800"/>
      <c r="I55" s="3111" t="s">
        <v>2349</v>
      </c>
      <c r="J55" s="3050" t="e">
        <f ca="1">ROUND(IF(J47="钢混",J57/J50,1-(1-2%)*(J50-J57)/J50),3)</f>
        <v>#VALUE!</v>
      </c>
      <c r="K55" s="3112" t="s">
        <v>2350</v>
      </c>
      <c r="L55" s="2350"/>
      <c r="O55" s="2368" t="s">
        <v>2405</v>
      </c>
      <c r="P55" s="1578"/>
      <c r="Q55" s="1589"/>
      <c r="R55" s="1578"/>
    </row>
    <row r="56" spans="1:18" s="2044" customFormat="1" ht="42.75" customHeight="1" thickBot="1">
      <c r="A56" s="1635"/>
      <c r="B56" s="2216" t="s">
        <v>2298</v>
      </c>
      <c r="C56" s="53">
        <f ca="1">C29</f>
        <v>3754</v>
      </c>
      <c r="D56" s="2603"/>
      <c r="E56" s="784"/>
      <c r="F56" s="809"/>
      <c r="I56" s="3113" t="s">
        <v>2351</v>
      </c>
      <c r="J56" s="3123" t="s">
        <v>1677</v>
      </c>
      <c r="K56" s="3075" t="s">
        <v>2356</v>
      </c>
      <c r="L56" s="1893" t="str">
        <f ca="1">IF(L48&lt;J51,"——",L48-J51)</f>
        <v>——</v>
      </c>
      <c r="O56" s="2359" t="s">
        <v>2369</v>
      </c>
      <c r="P56" s="2360" t="s">
        <v>2370</v>
      </c>
      <c r="Q56" s="2361" t="s">
        <v>2371</v>
      </c>
      <c r="R56" s="2360" t="s">
        <v>2372</v>
      </c>
    </row>
    <row r="57" spans="1:18" s="2044" customFormat="1" ht="28.5" customHeight="1" thickBot="1">
      <c r="A57" s="797" t="s">
        <v>1747</v>
      </c>
      <c r="B57" s="798" t="s">
        <v>650</v>
      </c>
      <c r="C57" s="799">
        <f ca="1">ROUND(C58+C63+C64+C65,0)</f>
        <v>24</v>
      </c>
      <c r="D57" s="26" t="s">
        <v>1749</v>
      </c>
      <c r="E57" s="2604"/>
      <c r="F57" s="56"/>
      <c r="I57" s="3114" t="s">
        <v>2352</v>
      </c>
      <c r="J57" s="3115" t="str">
        <f ca="1">IF(OR(M47="住宅",J51&lt;L48,J56="是"),"——",J51-L48)</f>
        <v>——</v>
      </c>
      <c r="K57" s="3075" t="s">
        <v>2357</v>
      </c>
      <c r="L57" s="1893" t="str">
        <f ca="1">IF(L48&lt;J51,"——",IF(L55="比较法",L49,IF(L55="基准地价",L50,L51)))</f>
        <v>——</v>
      </c>
      <c r="O57" s="2362" t="s">
        <v>2373</v>
      </c>
      <c r="P57" s="2363" t="s">
        <v>2403</v>
      </c>
      <c r="Q57" s="2364">
        <f ca="1">C40+J29</f>
        <v>30344</v>
      </c>
      <c r="R57" s="2363" t="s">
        <v>2374</v>
      </c>
    </row>
    <row r="58" spans="1:18" s="2044" customFormat="1" ht="28.5" customHeight="1" thickBot="1">
      <c r="A58" s="1634" t="s">
        <v>1823</v>
      </c>
      <c r="B58" s="784" t="s">
        <v>655</v>
      </c>
      <c r="C58" s="53">
        <f ca="1">ROUND(IF(项目基本情况!B11="自然人",C47*F58,C59+C60+C61),1)</f>
        <v>1.6</v>
      </c>
      <c r="D58" s="2602" t="s">
        <v>656</v>
      </c>
      <c r="E58" s="2603" t="s">
        <v>689</v>
      </c>
      <c r="F58" s="810" t="str">
        <f ca="1">IF(项目基本情况!B11="企业","",IF(INDIRECT("'数据-取费表'!c"&amp;$G$1)="住宅",5%,IF(F48*F49*F50/12/(1+'数据-取费表'!C42)&gt;20000,12%,7%)))</f>
        <v/>
      </c>
      <c r="I58" s="3114" t="s">
        <v>2353</v>
      </c>
      <c r="J58" s="3051" t="e">
        <f ca="1">IF(J55&lt;0.4,0.4,J55)</f>
        <v>#VALUE!</v>
      </c>
      <c r="K58" s="3075" t="s">
        <v>2358</v>
      </c>
      <c r="L58" s="1893" t="e">
        <f ca="1">ROUND(POWER(1+L52,L47-L48)*(POWER(1+L52,L48)-1)/(POWER(1+L52,L47)-1),4)</f>
        <v>#DIV/0!</v>
      </c>
      <c r="O58" s="2362" t="s">
        <v>2375</v>
      </c>
      <c r="P58" s="2363" t="s">
        <v>2406</v>
      </c>
      <c r="Q58" s="2364">
        <f ca="1">L60</f>
        <v>0</v>
      </c>
      <c r="R58" s="2367" t="s">
        <v>2408</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4" t="s">
        <v>2354</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2377</v>
      </c>
      <c r="P59" s="2363" t="s">
        <v>2407</v>
      </c>
      <c r="Q59" s="2364">
        <f>IF(L55="比较法",L49,IF(L55="基准地价",L50,0))</f>
        <v>0</v>
      </c>
      <c r="R59" s="2363" t="s">
        <v>2374</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6" t="s">
        <v>2355</v>
      </c>
      <c r="J60" s="3117" t="str">
        <f ca="1">IF(OR(M47="住宅",J51&lt;L48,J56="是"),"0",ROUND(J59/(1+J52)^J53,0))</f>
        <v>0</v>
      </c>
      <c r="K60" s="3118" t="s">
        <v>2360</v>
      </c>
      <c r="L60" s="3117">
        <f ca="1">IF(OR(M47="住宅",L48&lt;J51),0,ROUND(L57*(L58/L59-1),0))</f>
        <v>0</v>
      </c>
      <c r="O60" s="2365" t="s">
        <v>2378</v>
      </c>
      <c r="P60" s="2363" t="s">
        <v>2387</v>
      </c>
      <c r="Q60" s="2366">
        <f>L52</f>
        <v>0</v>
      </c>
      <c r="R60" s="2367"/>
    </row>
    <row r="61" spans="1:18" s="2044" customFormat="1" ht="18" customHeight="1" thickBot="1">
      <c r="A61" s="1636" t="s">
        <v>1832</v>
      </c>
      <c r="B61" s="341" t="s">
        <v>667</v>
      </c>
      <c r="C61" s="54">
        <f ca="1">ROUND(F61*F62/10000,1)</f>
        <v>1.6</v>
      </c>
      <c r="D61" s="814" t="s">
        <v>668</v>
      </c>
      <c r="E61" s="784" t="s">
        <v>669</v>
      </c>
      <c r="F61" s="640">
        <f t="shared" si="0"/>
        <v>5</v>
      </c>
      <c r="K61" s="2071"/>
      <c r="O61" s="2365" t="s">
        <v>2380</v>
      </c>
      <c r="P61" s="2363" t="s">
        <v>2388</v>
      </c>
      <c r="Q61" s="2364" t="e">
        <f ca="1">L58</f>
        <v>#DIV/0!</v>
      </c>
      <c r="R61" s="2367" t="s">
        <v>2389</v>
      </c>
    </row>
    <row r="62" spans="1:18" s="2044" customFormat="1" ht="15.75" thickBot="1">
      <c r="A62" s="815"/>
      <c r="B62" s="793"/>
      <c r="C62" s="69"/>
      <c r="D62" s="816"/>
      <c r="E62" s="784" t="s">
        <v>673</v>
      </c>
      <c r="F62" s="785">
        <f t="shared" ca="1" si="0"/>
        <v>3193.48</v>
      </c>
      <c r="I62" s="3119" t="s">
        <v>2361</v>
      </c>
      <c r="J62" s="3120" t="s">
        <v>2362</v>
      </c>
      <c r="K62" s="3120" t="s">
        <v>2363</v>
      </c>
      <c r="L62" s="3120" t="s">
        <v>2344</v>
      </c>
      <c r="M62" s="3121" t="s">
        <v>2929</v>
      </c>
      <c r="O62" s="2365" t="s">
        <v>2382</v>
      </c>
      <c r="P62" s="2363" t="str">
        <f>K59</f>
        <v>建设期及建筑物耐用年限下的土地年期修正系数Kn</v>
      </c>
      <c r="Q62" s="2364" t="e">
        <f ca="1">L59</f>
        <v>#DIV/0!</v>
      </c>
      <c r="R62" s="2367" t="s">
        <v>2391</v>
      </c>
    </row>
    <row r="63" spans="1:18" s="2044" customFormat="1" ht="15.75" thickBot="1">
      <c r="A63" s="1634" t="s">
        <v>1888</v>
      </c>
      <c r="B63" s="784" t="s">
        <v>675</v>
      </c>
      <c r="C63" s="53">
        <f ca="1">ROUND(C56*F63,1)</f>
        <v>18.8</v>
      </c>
      <c r="D63" s="2603" t="s">
        <v>1802</v>
      </c>
      <c r="E63" s="784" t="s">
        <v>1746</v>
      </c>
      <c r="F63" s="817">
        <f t="shared" ca="1" si="0"/>
        <v>5.0000000000000001E-3</v>
      </c>
      <c r="I63" s="3119" t="s">
        <v>2364</v>
      </c>
      <c r="J63" s="3120">
        <v>70</v>
      </c>
      <c r="K63" s="3120">
        <v>50</v>
      </c>
      <c r="L63" s="3120">
        <v>80</v>
      </c>
      <c r="M63" s="3122">
        <v>0.02</v>
      </c>
      <c r="O63" s="2362" t="s">
        <v>2385</v>
      </c>
      <c r="P63" s="2363" t="s">
        <v>2402</v>
      </c>
      <c r="Q63" s="2364">
        <f ca="1">Q57+Q58</f>
        <v>30344</v>
      </c>
      <c r="R63" s="2367" t="s">
        <v>2386</v>
      </c>
    </row>
    <row r="64" spans="1:18" s="2044" customFormat="1" ht="16.5" thickBot="1">
      <c r="A64" s="1634" t="s">
        <v>1889</v>
      </c>
      <c r="B64" s="784" t="s">
        <v>678</v>
      </c>
      <c r="C64" s="53">
        <f ca="1">ROUND(C55*F64,1)</f>
        <v>3.8</v>
      </c>
      <c r="D64" s="2603" t="s">
        <v>679</v>
      </c>
      <c r="E64" s="784" t="s">
        <v>1746</v>
      </c>
      <c r="F64" s="818">
        <f t="shared" ca="1" si="0"/>
        <v>1E-3</v>
      </c>
      <c r="I64" s="3119" t="s">
        <v>2365</v>
      </c>
      <c r="J64" s="3120">
        <v>50</v>
      </c>
      <c r="K64" s="3120">
        <v>35</v>
      </c>
      <c r="L64" s="3120">
        <v>60</v>
      </c>
      <c r="M64" s="846">
        <v>0</v>
      </c>
      <c r="O64" s="2368" t="s">
        <v>2409</v>
      </c>
      <c r="P64" s="1578"/>
      <c r="Q64" s="1589"/>
      <c r="R64" s="1578"/>
    </row>
    <row r="65" spans="1:18" s="2044" customFormat="1" ht="15.75" thickBot="1">
      <c r="A65" s="1634" t="s">
        <v>1890</v>
      </c>
      <c r="B65" s="784" t="s">
        <v>665</v>
      </c>
      <c r="C65" s="53">
        <f ca="1">ROUND(C47*F65,1)</f>
        <v>0</v>
      </c>
      <c r="D65" s="2603" t="s">
        <v>682</v>
      </c>
      <c r="E65" s="784" t="s">
        <v>1746</v>
      </c>
      <c r="F65" s="794">
        <f t="shared" ca="1" si="0"/>
        <v>5.0000000000000001E-3</v>
      </c>
      <c r="I65" s="3119" t="s">
        <v>2366</v>
      </c>
      <c r="J65" s="3120">
        <v>40</v>
      </c>
      <c r="K65" s="3120">
        <v>30</v>
      </c>
      <c r="L65" s="3120">
        <v>50</v>
      </c>
      <c r="M65" s="3122">
        <v>0.02</v>
      </c>
      <c r="O65" s="2359" t="s">
        <v>2369</v>
      </c>
      <c r="P65" s="2360" t="s">
        <v>2370</v>
      </c>
      <c r="Q65" s="2361" t="s">
        <v>2371</v>
      </c>
      <c r="R65" s="2360" t="s">
        <v>2372</v>
      </c>
    </row>
    <row r="66" spans="1:18" s="2044" customFormat="1" ht="24.75" thickBot="1">
      <c r="A66" s="797" t="s">
        <v>1775</v>
      </c>
      <c r="B66" s="2962" t="s">
        <v>2815</v>
      </c>
      <c r="C66" s="799">
        <f ca="1">C47-C57</f>
        <v>-24</v>
      </c>
      <c r="D66" s="2602" t="s">
        <v>699</v>
      </c>
      <c r="E66" s="2601"/>
      <c r="F66" s="820"/>
      <c r="K66" s="2071"/>
      <c r="O66" s="2362" t="s">
        <v>2373</v>
      </c>
      <c r="P66" s="2363" t="s">
        <v>2403</v>
      </c>
      <c r="Q66" s="2364">
        <f ca="1">C40+J29</f>
        <v>30344</v>
      </c>
      <c r="R66" s="2363" t="s">
        <v>2374</v>
      </c>
    </row>
    <row r="67" spans="1:18" s="2044" customFormat="1" ht="20.25" thickBot="1">
      <c r="A67" s="781" t="s">
        <v>1779</v>
      </c>
      <c r="B67" s="2217" t="s">
        <v>2297</v>
      </c>
      <c r="C67" s="783">
        <f ca="1">ROUND(C66*(1-((1+F69)/(1+F67))^F68)/(F67-F69),0)</f>
        <v>-332</v>
      </c>
      <c r="D67" s="814" t="s">
        <v>703</v>
      </c>
      <c r="E67" s="784" t="s">
        <v>704</v>
      </c>
      <c r="F67" s="794">
        <f ca="1">F40</f>
        <v>0.06</v>
      </c>
      <c r="K67" s="2071"/>
      <c r="O67" s="2362" t="s">
        <v>2375</v>
      </c>
      <c r="P67" s="2363" t="s">
        <v>2406</v>
      </c>
      <c r="Q67" s="2364">
        <f ca="1">L60</f>
        <v>0</v>
      </c>
      <c r="R67" s="2367" t="s">
        <v>2408</v>
      </c>
    </row>
    <row r="68" spans="1:18" ht="21.75" thickBot="1">
      <c r="A68" s="786"/>
      <c r="B68" s="787"/>
      <c r="C68" s="788"/>
      <c r="D68" s="821" t="s">
        <v>1807</v>
      </c>
      <c r="E68" s="784" t="s">
        <v>1783</v>
      </c>
      <c r="F68" s="822">
        <f ca="1">F41</f>
        <v>30.5</v>
      </c>
      <c r="O68" s="2365" t="s">
        <v>2377</v>
      </c>
      <c r="P68" s="2363" t="s">
        <v>2407</v>
      </c>
      <c r="Q68" s="2369">
        <f ca="1">L51</f>
        <v>21991</v>
      </c>
      <c r="R68" s="2370" t="s">
        <v>2410</v>
      </c>
    </row>
    <row r="69" spans="1:18" ht="20.25" thickBot="1">
      <c r="A69" s="790"/>
      <c r="B69" s="791"/>
      <c r="C69" s="792"/>
      <c r="D69" s="816"/>
      <c r="E69" s="784" t="s">
        <v>709</v>
      </c>
      <c r="F69" s="2335"/>
      <c r="O69" s="2365" t="s">
        <v>2378</v>
      </c>
      <c r="P69" s="2371" t="s">
        <v>2392</v>
      </c>
      <c r="Q69" s="2364">
        <f ca="1">ROUND(Q70-Q71*Q72,0)</f>
        <v>1467</v>
      </c>
      <c r="R69" s="2367"/>
    </row>
    <row r="70" spans="1:18" ht="15.75" thickBot="1">
      <c r="A70" s="823" t="s">
        <v>1786</v>
      </c>
      <c r="B70" s="824" t="s">
        <v>1809</v>
      </c>
      <c r="C70" s="825">
        <f ca="1">ROUND(C67*10000/F70,0)</f>
        <v>-338</v>
      </c>
      <c r="D70" s="826" t="s">
        <v>1810</v>
      </c>
      <c r="E70" s="827" t="s">
        <v>1811</v>
      </c>
      <c r="F70" s="828">
        <f ca="1">F43</f>
        <v>9818.2000000000007</v>
      </c>
      <c r="O70" s="2365" t="s">
        <v>2393</v>
      </c>
      <c r="P70" s="2371" t="s">
        <v>2394</v>
      </c>
      <c r="Q70" s="2364">
        <f ca="1">C39</f>
        <v>1467</v>
      </c>
      <c r="R70" s="2363" t="s">
        <v>2374</v>
      </c>
    </row>
    <row r="71" spans="1:18" ht="15.75" thickBot="1">
      <c r="O71" s="2365" t="s">
        <v>2395</v>
      </c>
      <c r="P71" s="2371" t="s">
        <v>2396</v>
      </c>
      <c r="Q71" s="2364">
        <f ca="1">C13</f>
        <v>3754</v>
      </c>
      <c r="R71" s="2363" t="s">
        <v>2374</v>
      </c>
    </row>
    <row r="72" spans="1:18" ht="15.75" thickBot="1">
      <c r="O72" s="2365" t="s">
        <v>2397</v>
      </c>
      <c r="P72" s="2371" t="s">
        <v>2398</v>
      </c>
      <c r="Q72" s="2366">
        <f ca="1">J36</f>
        <v>0</v>
      </c>
      <c r="R72" s="2367"/>
    </row>
    <row r="73" spans="1:18" ht="15.75" thickBot="1">
      <c r="O73" s="2365" t="s">
        <v>2380</v>
      </c>
      <c r="P73" s="2363" t="s">
        <v>2387</v>
      </c>
      <c r="Q73" s="2366">
        <f>L52</f>
        <v>0</v>
      </c>
      <c r="R73" s="2367"/>
    </row>
    <row r="74" spans="1:18" ht="20.25" thickBot="1">
      <c r="O74" s="2365" t="s">
        <v>2382</v>
      </c>
      <c r="P74" s="2363" t="s">
        <v>2388</v>
      </c>
      <c r="Q74" s="2364" t="e">
        <f ca="1">L58</f>
        <v>#DIV/0!</v>
      </c>
      <c r="R74" s="2367" t="s">
        <v>2389</v>
      </c>
    </row>
    <row r="75" spans="1:18" ht="15.75" thickBot="1">
      <c r="O75" s="2365" t="s">
        <v>2411</v>
      </c>
      <c r="P75" s="2363" t="str">
        <f>K59</f>
        <v>建设期及建筑物耐用年限下的土地年期修正系数Kn</v>
      </c>
      <c r="Q75" s="2364" t="e">
        <f ca="1">L59</f>
        <v>#DIV/0!</v>
      </c>
      <c r="R75" s="2367" t="s">
        <v>2391</v>
      </c>
    </row>
    <row r="76" spans="1:18" ht="15.75" thickBot="1">
      <c r="O76" s="2362" t="s">
        <v>2385</v>
      </c>
      <c r="P76" s="2363" t="s">
        <v>2402</v>
      </c>
      <c r="Q76" s="2364">
        <f ca="1">Q66+Q67</f>
        <v>30344</v>
      </c>
      <c r="R76" s="2367"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6" t="s">
        <v>2464</v>
      </c>
      <c r="B1" s="3577"/>
      <c r="C1" s="3578"/>
      <c r="D1" s="3579">
        <f>SUM(I10,I15,I20,I21,I23)</f>
        <v>0</v>
      </c>
      <c r="E1" s="3579"/>
      <c r="F1" s="3579"/>
      <c r="G1" s="3579"/>
      <c r="H1" s="3579"/>
      <c r="I1" s="3580"/>
    </row>
    <row r="2" spans="1:9">
      <c r="A2" s="3581" t="s">
        <v>2465</v>
      </c>
      <c r="B2" s="3582" t="s">
        <v>2466</v>
      </c>
      <c r="C2" s="3582"/>
      <c r="D2" s="2471" t="s">
        <v>2467</v>
      </c>
      <c r="E2" s="2471" t="s">
        <v>2468</v>
      </c>
      <c r="F2" s="2471" t="s">
        <v>2469</v>
      </c>
      <c r="G2" s="2471" t="s">
        <v>2470</v>
      </c>
      <c r="H2" s="2471" t="s">
        <v>2471</v>
      </c>
      <c r="I2" s="2472" t="s">
        <v>2472</v>
      </c>
    </row>
    <row r="3" spans="1:9">
      <c r="A3" s="3581"/>
      <c r="B3" s="3582" t="s">
        <v>2473</v>
      </c>
      <c r="C3" s="3582"/>
      <c r="D3" s="2473"/>
      <c r="E3" s="2471"/>
      <c r="F3" s="2474"/>
      <c r="G3" s="2474"/>
      <c r="H3" s="2475"/>
      <c r="I3" s="2476">
        <f>ROUND(D3*E3*F3*G3*H3/10000,0)</f>
        <v>0</v>
      </c>
    </row>
    <row r="4" spans="1:9">
      <c r="A4" s="3581"/>
      <c r="B4" s="3582" t="s">
        <v>2474</v>
      </c>
      <c r="C4" s="3582"/>
      <c r="D4" s="2473"/>
      <c r="E4" s="2471"/>
      <c r="F4" s="2474"/>
      <c r="G4" s="2474"/>
      <c r="H4" s="2475"/>
      <c r="I4" s="2476">
        <f t="shared" ref="I4:I9" si="0">ROUND(D4*E4*F4*G4*H4/10000,0)</f>
        <v>0</v>
      </c>
    </row>
    <row r="5" spans="1:9">
      <c r="A5" s="3581"/>
      <c r="B5" s="3582" t="s">
        <v>2475</v>
      </c>
      <c r="C5" s="3582"/>
      <c r="D5" s="2473"/>
      <c r="E5" s="2471"/>
      <c r="F5" s="2474"/>
      <c r="G5" s="2474"/>
      <c r="H5" s="2475"/>
      <c r="I5" s="2476">
        <f t="shared" si="0"/>
        <v>0</v>
      </c>
    </row>
    <row r="6" spans="1:9">
      <c r="A6" s="3581"/>
      <c r="B6" s="3582" t="s">
        <v>2476</v>
      </c>
      <c r="C6" s="3582"/>
      <c r="D6" s="2473"/>
      <c r="E6" s="2471"/>
      <c r="F6" s="2474"/>
      <c r="G6" s="2474"/>
      <c r="H6" s="2475"/>
      <c r="I6" s="2476">
        <f t="shared" si="0"/>
        <v>0</v>
      </c>
    </row>
    <row r="7" spans="1:9">
      <c r="A7" s="3581"/>
      <c r="B7" s="3582" t="s">
        <v>2477</v>
      </c>
      <c r="C7" s="3582"/>
      <c r="D7" s="2473"/>
      <c r="E7" s="2471"/>
      <c r="F7" s="2474"/>
      <c r="G7" s="2474"/>
      <c r="H7" s="2475"/>
      <c r="I7" s="2476">
        <f t="shared" si="0"/>
        <v>0</v>
      </c>
    </row>
    <row r="8" spans="1:9">
      <c r="A8" s="3581"/>
      <c r="B8" s="3582" t="s">
        <v>2478</v>
      </c>
      <c r="C8" s="3582"/>
      <c r="D8" s="2473"/>
      <c r="E8" s="2471"/>
      <c r="F8" s="2474"/>
      <c r="G8" s="2474"/>
      <c r="H8" s="2475"/>
      <c r="I8" s="2476">
        <f t="shared" si="0"/>
        <v>0</v>
      </c>
    </row>
    <row r="9" spans="1:9">
      <c r="A9" s="3581"/>
      <c r="B9" s="3582" t="s">
        <v>2479</v>
      </c>
      <c r="C9" s="3582"/>
      <c r="D9" s="2473"/>
      <c r="E9" s="2471"/>
      <c r="F9" s="2474"/>
      <c r="G9" s="2474"/>
      <c r="H9" s="2475"/>
      <c r="I9" s="2476">
        <f t="shared" si="0"/>
        <v>0</v>
      </c>
    </row>
    <row r="10" spans="1:9">
      <c r="A10" s="3581"/>
      <c r="B10" s="3583" t="s">
        <v>2480</v>
      </c>
      <c r="C10" s="3583"/>
      <c r="D10" s="2477">
        <v>527</v>
      </c>
      <c r="E10" s="2477" t="e">
        <f>ROUND(D1*10000/D10/H9,0)</f>
        <v>#DIV/0!</v>
      </c>
      <c r="F10" s="2478"/>
      <c r="G10" s="2478"/>
      <c r="H10" s="2479"/>
      <c r="I10" s="2480">
        <f>SUM(I3:I9)</f>
        <v>0</v>
      </c>
    </row>
    <row r="11" spans="1:9" ht="14.25">
      <c r="A11" s="3581" t="s">
        <v>2481</v>
      </c>
      <c r="B11" s="3582" t="s">
        <v>2482</v>
      </c>
      <c r="C11" s="3582"/>
      <c r="D11" s="2473" t="s">
        <v>2483</v>
      </c>
      <c r="E11" s="2473" t="s">
        <v>2484</v>
      </c>
      <c r="F11" s="2474" t="s">
        <v>2485</v>
      </c>
      <c r="G11" s="2474" t="s">
        <v>2486</v>
      </c>
      <c r="H11" s="2481" t="s">
        <v>2487</v>
      </c>
      <c r="I11" s="2472" t="s">
        <v>2488</v>
      </c>
    </row>
    <row r="12" spans="1:9">
      <c r="A12" s="3581"/>
      <c r="B12" s="3582" t="s">
        <v>2489</v>
      </c>
      <c r="C12" s="3582"/>
      <c r="D12" s="2473"/>
      <c r="E12" s="2473"/>
      <c r="F12" s="2474"/>
      <c r="G12" s="2475"/>
      <c r="H12" s="2482"/>
      <c r="I12" s="2472">
        <f>ROUND(D12*E12*F12*G12/10000,0)</f>
        <v>0</v>
      </c>
    </row>
    <row r="13" spans="1:9">
      <c r="A13" s="3581"/>
      <c r="B13" s="3582" t="s">
        <v>2490</v>
      </c>
      <c r="C13" s="3582"/>
      <c r="D13" s="2473"/>
      <c r="E13" s="2473"/>
      <c r="F13" s="2474"/>
      <c r="G13" s="2475"/>
      <c r="H13" s="2482"/>
      <c r="I13" s="2472">
        <f>ROUND(D13*E13*F13*G13/10000,0)</f>
        <v>0</v>
      </c>
    </row>
    <row r="14" spans="1:9">
      <c r="A14" s="3581"/>
      <c r="B14" s="3582" t="s">
        <v>2491</v>
      </c>
      <c r="C14" s="3582"/>
      <c r="D14" s="2473"/>
      <c r="E14" s="2473"/>
      <c r="F14" s="2474"/>
      <c r="G14" s="2475"/>
      <c r="H14" s="2482"/>
      <c r="I14" s="2472">
        <f>ROUND(D14*E14*F14*G14/10000,0)</f>
        <v>0</v>
      </c>
    </row>
    <row r="15" spans="1:9">
      <c r="A15" s="3581"/>
      <c r="B15" s="3583" t="s">
        <v>2480</v>
      </c>
      <c r="C15" s="3583"/>
      <c r="D15" s="2477"/>
      <c r="E15" s="2477">
        <f>SUM(E12:E14)</f>
        <v>0</v>
      </c>
      <c r="F15" s="2478"/>
      <c r="G15" s="2475"/>
      <c r="H15" s="2482"/>
      <c r="I15" s="2483">
        <f>SUM(I12:I14)</f>
        <v>0</v>
      </c>
    </row>
    <row r="16" spans="1:9" ht="24">
      <c r="A16" s="3581" t="s">
        <v>2492</v>
      </c>
      <c r="B16" s="3582" t="s">
        <v>2493</v>
      </c>
      <c r="C16" s="3582"/>
      <c r="D16" s="2473" t="s">
        <v>2494</v>
      </c>
      <c r="E16" s="2484" t="s">
        <v>2495</v>
      </c>
      <c r="F16" s="2474" t="s">
        <v>2496</v>
      </c>
      <c r="G16" s="2475" t="s">
        <v>2486</v>
      </c>
      <c r="H16" s="2481" t="s">
        <v>2487</v>
      </c>
      <c r="I16" s="2472" t="s">
        <v>2488</v>
      </c>
    </row>
    <row r="17" spans="1:9" ht="14.25">
      <c r="A17" s="3581"/>
      <c r="B17" s="3582" t="s">
        <v>2497</v>
      </c>
      <c r="C17" s="3582"/>
      <c r="D17" s="2473"/>
      <c r="E17" s="2473"/>
      <c r="F17" s="2474"/>
      <c r="G17" s="2475"/>
      <c r="H17" s="2485"/>
      <c r="I17" s="2486">
        <f>ROUND(D17*E17*F17*G17/10000,0)</f>
        <v>0</v>
      </c>
    </row>
    <row r="18" spans="1:9" ht="14.25">
      <c r="A18" s="3581"/>
      <c r="B18" s="3582" t="s">
        <v>2498</v>
      </c>
      <c r="C18" s="3582"/>
      <c r="D18" s="2473"/>
      <c r="E18" s="2473"/>
      <c r="F18" s="2474"/>
      <c r="G18" s="2475"/>
      <c r="H18" s="2485"/>
      <c r="I18" s="2486">
        <f>ROUND(D18*E18*F18*G18/10000,0)</f>
        <v>0</v>
      </c>
    </row>
    <row r="19" spans="1:9" ht="14.25">
      <c r="A19" s="3581"/>
      <c r="B19" s="3582" t="s">
        <v>2499</v>
      </c>
      <c r="C19" s="3582"/>
      <c r="D19" s="2473"/>
      <c r="E19" s="2473"/>
      <c r="F19" s="2474"/>
      <c r="G19" s="2475"/>
      <c r="H19" s="2485"/>
      <c r="I19" s="2486">
        <f>ROUND(D19*E19*F19*G19/10000,0)</f>
        <v>0</v>
      </c>
    </row>
    <row r="20" spans="1:9">
      <c r="A20" s="3581"/>
      <c r="B20" s="3583" t="s">
        <v>2480</v>
      </c>
      <c r="C20" s="3583"/>
      <c r="D20" s="2477">
        <f>SUM(D17:D19)</f>
        <v>0</v>
      </c>
      <c r="E20" s="2477"/>
      <c r="F20" s="2478"/>
      <c r="G20" s="2475"/>
      <c r="H20" s="2482"/>
      <c r="I20" s="2483">
        <f>SUM(I17:I19)</f>
        <v>0</v>
      </c>
    </row>
    <row r="21" spans="1:9">
      <c r="A21" s="3581" t="s">
        <v>2500</v>
      </c>
      <c r="B21" s="3585"/>
      <c r="C21" s="3585"/>
      <c r="D21" s="3585"/>
      <c r="E21" s="3585"/>
      <c r="F21" s="3585"/>
      <c r="G21" s="3585"/>
      <c r="H21" s="2487">
        <v>0.1</v>
      </c>
      <c r="I21" s="2480">
        <f>ROUND(I10*H21,0)</f>
        <v>0</v>
      </c>
    </row>
    <row r="22" spans="1:9" ht="14.25">
      <c r="A22" s="3586" t="s">
        <v>2501</v>
      </c>
      <c r="B22" s="3587"/>
      <c r="C22" s="3588"/>
      <c r="D22" s="2488" t="s">
        <v>2502</v>
      </c>
      <c r="E22" s="2488" t="s">
        <v>2503</v>
      </c>
      <c r="F22" s="2489" t="s">
        <v>2504</v>
      </c>
      <c r="G22" s="2489" t="s">
        <v>2505</v>
      </c>
      <c r="H22" s="2481" t="s">
        <v>2506</v>
      </c>
      <c r="I22" s="2472" t="s">
        <v>2507</v>
      </c>
    </row>
    <row r="23" spans="1:9" ht="14.25" thickBot="1">
      <c r="A23" s="3589"/>
      <c r="B23" s="3590"/>
      <c r="C23" s="3591"/>
      <c r="D23" s="2490"/>
      <c r="E23" s="2490"/>
      <c r="F23" s="2490"/>
      <c r="G23" s="2491"/>
      <c r="H23" s="2492"/>
      <c r="I23" s="2493">
        <f>ROUND(E23*D23*F23*(1-G23)/10000,0)</f>
        <v>0</v>
      </c>
    </row>
    <row r="26" spans="1:9">
      <c r="A26" s="2494" t="s">
        <v>2508</v>
      </c>
      <c r="B26" s="2494"/>
      <c r="C26" s="2494"/>
      <c r="D26" s="2494"/>
      <c r="E26" s="3592">
        <f>C27-C30-C31-C32</f>
        <v>0</v>
      </c>
      <c r="F26" s="3592"/>
      <c r="G26" s="3592"/>
      <c r="H26" s="2994" t="s">
        <v>2836</v>
      </c>
    </row>
    <row r="27" spans="1:9">
      <c r="A27" s="2495">
        <v>1</v>
      </c>
      <c r="B27" s="2496" t="s">
        <v>2509</v>
      </c>
      <c r="C27" s="2496"/>
      <c r="D27" s="2496"/>
      <c r="E27" s="3593"/>
      <c r="F27" s="3593"/>
      <c r="G27" s="3593"/>
    </row>
    <row r="28" spans="1:9">
      <c r="A28" s="2497" t="s">
        <v>2510</v>
      </c>
      <c r="B28" s="2496" t="s">
        <v>2511</v>
      </c>
      <c r="C28" s="2496"/>
      <c r="D28" s="2496"/>
      <c r="E28" s="3593"/>
      <c r="F28" s="3593"/>
      <c r="G28" s="3593"/>
    </row>
    <row r="29" spans="1:9">
      <c r="A29" s="2497" t="s">
        <v>2512</v>
      </c>
      <c r="B29" s="2496" t="s">
        <v>2453</v>
      </c>
      <c r="C29" s="2496"/>
      <c r="D29" s="2496"/>
      <c r="E29" s="2496" t="s">
        <v>2513</v>
      </c>
      <c r="F29" s="2496"/>
      <c r="G29" s="2496"/>
    </row>
    <row r="30" spans="1:9">
      <c r="A30" s="2495">
        <v>2</v>
      </c>
      <c r="B30" s="2496" t="s">
        <v>2514</v>
      </c>
      <c r="C30" s="2496">
        <f>C27*D30</f>
        <v>0</v>
      </c>
      <c r="D30" s="2498">
        <v>0.2</v>
      </c>
      <c r="E30" s="2496" t="s">
        <v>2515</v>
      </c>
      <c r="F30" s="2496"/>
      <c r="G30" s="2496"/>
    </row>
    <row r="31" spans="1:9">
      <c r="A31" s="2495">
        <v>3</v>
      </c>
      <c r="B31" s="2496" t="s">
        <v>2516</v>
      </c>
      <c r="C31" s="2496">
        <f>C25*D31</f>
        <v>0</v>
      </c>
      <c r="D31" s="2498">
        <v>0.15</v>
      </c>
      <c r="E31" s="2496" t="s">
        <v>2517</v>
      </c>
      <c r="F31" s="2496"/>
      <c r="G31" s="2496"/>
    </row>
    <row r="32" spans="1:9">
      <c r="A32" s="2495">
        <v>4</v>
      </c>
      <c r="B32" s="2496" t="s">
        <v>2518</v>
      </c>
      <c r="C32" s="2496">
        <f>C27*D32</f>
        <v>0</v>
      </c>
      <c r="D32" s="2498">
        <v>0.05</v>
      </c>
      <c r="E32" s="3584"/>
      <c r="F32" s="3584"/>
      <c r="G32" s="3584"/>
    </row>
    <row r="33" spans="1:7" hidden="1">
      <c r="A33" s="3594" t="s">
        <v>2519</v>
      </c>
      <c r="B33" s="3595"/>
      <c r="C33" s="3595"/>
      <c r="D33" s="3596"/>
      <c r="E33" s="3592"/>
      <c r="F33" s="3592"/>
      <c r="G33" s="3592"/>
    </row>
    <row r="34" spans="1:7" hidden="1">
      <c r="A34" s="2499">
        <v>1</v>
      </c>
      <c r="B34" s="2496" t="s">
        <v>2520</v>
      </c>
      <c r="C34" s="2496"/>
      <c r="D34" s="2496"/>
      <c r="E34" s="3593"/>
      <c r="F34" s="3593"/>
      <c r="G34" s="3593"/>
    </row>
    <row r="35" spans="1:7" hidden="1">
      <c r="A35" s="2499">
        <v>2</v>
      </c>
      <c r="B35" s="2496" t="s">
        <v>2521</v>
      </c>
      <c r="C35" s="2496"/>
      <c r="D35" s="2496"/>
      <c r="E35" s="3593"/>
      <c r="F35" s="3593"/>
      <c r="G35" s="3593"/>
    </row>
    <row r="36" spans="1:7" hidden="1">
      <c r="A36" s="2499">
        <v>3</v>
      </c>
      <c r="B36" s="2496" t="s">
        <v>2522</v>
      </c>
      <c r="C36" s="2496"/>
      <c r="D36" s="2496"/>
      <c r="E36" s="3593"/>
      <c r="F36" s="3593"/>
      <c r="G36" s="3593"/>
    </row>
    <row r="37" spans="1:7" hidden="1">
      <c r="A37" s="2499">
        <v>4</v>
      </c>
      <c r="B37" s="2496" t="s">
        <v>2523</v>
      </c>
      <c r="C37" s="2496"/>
      <c r="D37" s="2496"/>
      <c r="E37" s="3593"/>
      <c r="F37" s="3593"/>
      <c r="G37" s="3593"/>
    </row>
    <row r="38" spans="1:7" hidden="1">
      <c r="A38" s="3594" t="s">
        <v>2524</v>
      </c>
      <c r="B38" s="3595"/>
      <c r="C38" s="3595"/>
      <c r="D38" s="3596"/>
      <c r="E38" s="3592"/>
      <c r="F38" s="3592"/>
      <c r="G38" s="35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2434</v>
      </c>
      <c r="B8" s="2436" t="s">
        <v>2436</v>
      </c>
      <c r="C8" s="2437"/>
      <c r="D8" s="749"/>
      <c r="E8" s="750"/>
      <c r="F8" s="750"/>
      <c r="G8" s="751"/>
    </row>
    <row r="9" spans="1:25" s="2168" customFormat="1" ht="13.5" customHeight="1">
      <c r="A9" s="2433" t="s">
        <v>2435</v>
      </c>
      <c r="B9" s="2436" t="s">
        <v>2437</v>
      </c>
      <c r="C9" s="2437"/>
      <c r="D9" s="749"/>
      <c r="E9" s="750"/>
      <c r="F9" s="750"/>
      <c r="G9" s="751"/>
    </row>
    <row r="10" spans="1:25" s="2168" customFormat="1" ht="36">
      <c r="A10" s="2433">
        <v>2</v>
      </c>
      <c r="B10" s="748" t="s">
        <v>612</v>
      </c>
      <c r="C10" s="749">
        <f>C11+C14+C15</f>
        <v>0</v>
      </c>
      <c r="D10" s="760">
        <f>'数据-汇总表'!E3</f>
        <v>240271.90000000002</v>
      </c>
      <c r="E10" s="749">
        <f>'数据-取费表'!B31</f>
        <v>80</v>
      </c>
      <c r="F10" s="761"/>
      <c r="G10" s="759" t="s">
        <v>613</v>
      </c>
    </row>
    <row r="11" spans="1:25" s="2168" customFormat="1" ht="13.5" customHeight="1">
      <c r="A11" s="2433" t="s">
        <v>2434</v>
      </c>
      <c r="B11" s="752" t="s">
        <v>609</v>
      </c>
      <c r="C11" s="753">
        <f>'数据-取费表'!B29</f>
        <v>0</v>
      </c>
      <c r="D11" s="754"/>
      <c r="E11" s="753"/>
      <c r="F11" s="755"/>
      <c r="G11" s="2442" t="s">
        <v>2445</v>
      </c>
    </row>
    <row r="12" spans="1:25" s="2168" customFormat="1" ht="13.5" customHeight="1">
      <c r="A12" s="2440" t="s">
        <v>2442</v>
      </c>
      <c r="B12" s="756" t="s">
        <v>610</v>
      </c>
      <c r="C12" s="757">
        <f>ROUND(D12*E12/10000,0)</f>
        <v>3085</v>
      </c>
      <c r="D12" s="758">
        <f>'数据-汇总表'!E5</f>
        <v>205670.1</v>
      </c>
      <c r="E12" s="757">
        <f>'数据-取费表'!B27</f>
        <v>150</v>
      </c>
      <c r="F12" s="755"/>
      <c r="G12" s="759"/>
    </row>
    <row r="13" spans="1:25" s="2168" customFormat="1" ht="13.5" customHeight="1">
      <c r="A13" s="2440" t="s">
        <v>2441</v>
      </c>
      <c r="B13" s="756" t="s">
        <v>611</v>
      </c>
      <c r="C13" s="757">
        <f>ROUND(D13*E13/10000,0)</f>
        <v>519</v>
      </c>
      <c r="D13" s="758">
        <f>'数据-汇总表'!E6</f>
        <v>34601.800000000017</v>
      </c>
      <c r="E13" s="757">
        <f>'数据-取费表'!B28</f>
        <v>150</v>
      </c>
      <c r="F13" s="755"/>
      <c r="G13" s="759"/>
    </row>
    <row r="14" spans="1:25" s="2168" customFormat="1" ht="13.5" customHeight="1">
      <c r="A14" s="2433" t="s">
        <v>2435</v>
      </c>
      <c r="B14" s="2439" t="s">
        <v>2438</v>
      </c>
      <c r="C14" s="2437"/>
      <c r="D14" s="758"/>
      <c r="E14" s="757"/>
      <c r="F14" s="2438"/>
      <c r="G14" s="2441" t="s">
        <v>2443</v>
      </c>
    </row>
    <row r="15" spans="1:25" s="2168" customFormat="1" ht="13.5" customHeight="1">
      <c r="A15" s="2433" t="s">
        <v>2440</v>
      </c>
      <c r="B15" s="2439" t="s">
        <v>2439</v>
      </c>
      <c r="C15" s="2437"/>
      <c r="D15" s="758"/>
      <c r="E15" s="757"/>
      <c r="F15" s="2438"/>
      <c r="G15" s="2441" t="s">
        <v>2444</v>
      </c>
    </row>
    <row r="16" spans="1:25" s="2169" customFormat="1" ht="48">
      <c r="A16" s="2433">
        <v>3</v>
      </c>
      <c r="B16" s="748" t="s">
        <v>614</v>
      </c>
      <c r="C16" s="2437"/>
      <c r="D16" s="760"/>
      <c r="E16" s="749"/>
      <c r="F16" s="761"/>
      <c r="G16" s="759" t="s">
        <v>2446</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0.90800000000000003</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482" t="s">
        <v>521</v>
      </c>
      <c r="D4" s="3483"/>
      <c r="E4" s="3516" t="s">
        <v>522</v>
      </c>
      <c r="F4" s="3517"/>
      <c r="G4" s="3482" t="s">
        <v>523</v>
      </c>
      <c r="H4" s="3483"/>
      <c r="I4" s="3482" t="s">
        <v>524</v>
      </c>
      <c r="J4" s="3483"/>
      <c r="K4" s="514" t="s">
        <v>525</v>
      </c>
      <c r="L4" s="2118"/>
      <c r="M4" s="2119"/>
      <c r="N4" s="2119"/>
      <c r="O4" s="2119"/>
      <c r="P4" s="3484" t="s">
        <v>526</v>
      </c>
      <c r="Q4" s="3485"/>
      <c r="R4" s="3490" t="s">
        <v>522</v>
      </c>
      <c r="S4" s="3491"/>
      <c r="T4" s="3490" t="s">
        <v>523</v>
      </c>
      <c r="U4" s="3491"/>
      <c r="V4" s="3477" t="s">
        <v>524</v>
      </c>
      <c r="W4" s="3477"/>
      <c r="X4" s="1553"/>
      <c r="Y4" s="3490" t="s">
        <v>526</v>
      </c>
      <c r="Z4" s="3491"/>
      <c r="AA4" s="3479" t="s">
        <v>522</v>
      </c>
      <c r="AB4" s="3477" t="s">
        <v>523</v>
      </c>
      <c r="AC4" s="3479" t="s">
        <v>524</v>
      </c>
    </row>
    <row r="5" spans="1:29" ht="15">
      <c r="A5" s="515"/>
      <c r="B5" s="516"/>
      <c r="C5" s="3498" t="s">
        <v>2916</v>
      </c>
      <c r="D5" s="3499"/>
      <c r="E5" s="3518" t="s">
        <v>2917</v>
      </c>
      <c r="F5" s="3519"/>
      <c r="G5" s="3498" t="s">
        <v>2918</v>
      </c>
      <c r="H5" s="3499"/>
      <c r="I5" s="3498" t="s">
        <v>2919</v>
      </c>
      <c r="J5" s="3499"/>
      <c r="K5" s="514"/>
      <c r="L5" s="2118"/>
      <c r="M5" s="2119"/>
      <c r="N5" s="2119"/>
      <c r="O5" s="2119"/>
      <c r="P5" s="3486"/>
      <c r="Q5" s="3487"/>
      <c r="R5" s="3492"/>
      <c r="S5" s="3493"/>
      <c r="T5" s="3492"/>
      <c r="U5" s="3493"/>
      <c r="V5" s="3477"/>
      <c r="W5" s="3477"/>
      <c r="X5" s="1553"/>
      <c r="Y5" s="3492"/>
      <c r="Z5" s="3493"/>
      <c r="AA5" s="3480"/>
      <c r="AB5" s="3477"/>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77"/>
      <c r="AC6" s="3481"/>
    </row>
    <row r="7" spans="1:29" s="1215" customFormat="1" ht="15.75" thickBot="1">
      <c r="A7" s="2866"/>
      <c r="B7" s="2873" t="s">
        <v>528</v>
      </c>
      <c r="C7" s="519">
        <f>'数据-取费表'!B2</f>
        <v>43629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507" t="s">
        <v>529</v>
      </c>
      <c r="Q7" s="3509"/>
      <c r="R7" s="1554" t="s">
        <v>8</v>
      </c>
      <c r="S7" s="1555">
        <f t="shared" ref="S7:S15" si="0">F7</f>
        <v>0</v>
      </c>
      <c r="T7" s="1554" t="s">
        <v>8</v>
      </c>
      <c r="U7" s="1555">
        <f t="shared" ref="U7:U15" si="1">H7</f>
        <v>0</v>
      </c>
      <c r="V7" s="1554" t="s">
        <v>8</v>
      </c>
      <c r="W7" s="1555">
        <f t="shared" ref="W7:W15"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507" t="s">
        <v>532</v>
      </c>
      <c r="Q8" s="3508"/>
      <c r="R8" s="1554" t="s">
        <v>8</v>
      </c>
      <c r="S8" s="1555">
        <f t="shared" si="0"/>
        <v>0</v>
      </c>
      <c r="T8" s="1554" t="s">
        <v>8</v>
      </c>
      <c r="U8" s="1555">
        <f t="shared" si="1"/>
        <v>0</v>
      </c>
      <c r="V8" s="1554" t="s">
        <v>8</v>
      </c>
      <c r="W8" s="1555">
        <f t="shared" si="2"/>
        <v>0</v>
      </c>
      <c r="X8" s="1556"/>
      <c r="Y8" s="3507" t="s">
        <v>532</v>
      </c>
      <c r="Z8" s="3508"/>
      <c r="AA8" s="1557" t="e">
        <f t="shared" ref="AA8:AA46" si="3">D8/F8</f>
        <v>#DIV/0!</v>
      </c>
      <c r="AB8" s="1557" t="e">
        <f t="shared" ref="AB8:AB46" si="4">D8/H8</f>
        <v>#DIV/0!</v>
      </c>
      <c r="AC8" s="1557" t="e">
        <f t="shared" ref="AC8:AC46" si="5">D8/J8</f>
        <v>#DIV/0!</v>
      </c>
    </row>
    <row r="9" spans="1:29" s="1215" customFormat="1" ht="15">
      <c r="A9" s="2868"/>
      <c r="B9" s="2875" t="s">
        <v>2749</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76"/>
      <c r="Q11" s="1146" t="str">
        <f t="shared" si="6"/>
        <v>容积率</v>
      </c>
      <c r="R11" s="1554" t="s">
        <v>8</v>
      </c>
      <c r="S11" s="1555" t="e">
        <f t="shared" si="0"/>
        <v>#N/A</v>
      </c>
      <c r="T11" s="1554" t="s">
        <v>8</v>
      </c>
      <c r="U11" s="1555" t="e">
        <f t="shared" si="1"/>
        <v>#N/A</v>
      </c>
      <c r="V11" s="1554" t="s">
        <v>8</v>
      </c>
      <c r="W11" s="1555" t="e">
        <f t="shared" si="2"/>
        <v>#N/A</v>
      </c>
      <c r="X11" s="1556"/>
      <c r="Y11" s="339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 t="shared" si="3"/>
        <v>1</v>
      </c>
      <c r="AB14" s="1557">
        <f t="shared" si="4"/>
        <v>1</v>
      </c>
      <c r="AC14" s="1557">
        <f t="shared" si="5"/>
        <v>1</v>
      </c>
    </row>
    <row r="15" spans="1:29" ht="15">
      <c r="A15" s="2864" t="s">
        <v>2747</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510" t="s">
        <v>539</v>
      </c>
      <c r="Q15" s="1558" t="str">
        <f t="shared" si="6"/>
        <v>商业繁华度</v>
      </c>
      <c r="R15" s="1559" t="s">
        <v>8</v>
      </c>
      <c r="S15" s="1560">
        <f t="shared" si="0"/>
        <v>100</v>
      </c>
      <c r="T15" s="1559" t="s">
        <v>8</v>
      </c>
      <c r="U15" s="1560">
        <f t="shared" si="1"/>
        <v>100</v>
      </c>
      <c r="V15" s="1559" t="s">
        <v>8</v>
      </c>
      <c r="W15" s="1560">
        <f t="shared" si="2"/>
        <v>100</v>
      </c>
      <c r="X15" s="1553"/>
      <c r="Y15" s="3510"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511"/>
      <c r="Q16" s="1558"/>
      <c r="R16" s="1559"/>
      <c r="S16" s="1560"/>
      <c r="T16" s="1559"/>
      <c r="U16" s="1560"/>
      <c r="V16" s="1559"/>
      <c r="W16" s="1560"/>
      <c r="X16" s="1553"/>
      <c r="Y16" s="3511"/>
      <c r="Z16" s="1561"/>
      <c r="AA16" s="1562">
        <v>1</v>
      </c>
      <c r="AB16" s="1562">
        <v>1</v>
      </c>
      <c r="AC16" s="1562">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511"/>
      <c r="Q17" s="1558" t="str">
        <f>B17</f>
        <v>交通便捷度</v>
      </c>
      <c r="R17" s="1559" t="s">
        <v>8</v>
      </c>
      <c r="S17" s="1560">
        <f>F17</f>
        <v>100</v>
      </c>
      <c r="T17" s="1559" t="s">
        <v>8</v>
      </c>
      <c r="U17" s="1560">
        <f>H17</f>
        <v>100</v>
      </c>
      <c r="V17" s="1559" t="s">
        <v>8</v>
      </c>
      <c r="W17" s="1560">
        <f>J17</f>
        <v>100</v>
      </c>
      <c r="X17" s="1553"/>
      <c r="Y17" s="35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511"/>
      <c r="Q18" s="1558"/>
      <c r="R18" s="1559"/>
      <c r="S18" s="1560"/>
      <c r="T18" s="1559"/>
      <c r="U18" s="1560"/>
      <c r="V18" s="1559"/>
      <c r="W18" s="1560"/>
      <c r="X18" s="1553"/>
      <c r="Y18" s="3511"/>
      <c r="Z18" s="1561"/>
      <c r="AA18" s="1562">
        <v>1</v>
      </c>
      <c r="AB18" s="1562">
        <v>1</v>
      </c>
      <c r="AC18" s="1562">
        <v>1</v>
      </c>
    </row>
    <row r="19" spans="1:29" ht="15">
      <c r="A19" s="532"/>
      <c r="B19" s="2564" t="s">
        <v>2539</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511"/>
      <c r="Q19" s="1558" t="str">
        <f>B19</f>
        <v>公共配套设施</v>
      </c>
      <c r="R19" s="1559" t="s">
        <v>8</v>
      </c>
      <c r="S19" s="1560">
        <f>F19</f>
        <v>100</v>
      </c>
      <c r="T19" s="1559" t="s">
        <v>8</v>
      </c>
      <c r="U19" s="1560">
        <f>H19</f>
        <v>100</v>
      </c>
      <c r="V19" s="1559" t="s">
        <v>8</v>
      </c>
      <c r="W19" s="1560">
        <f>J19</f>
        <v>100</v>
      </c>
      <c r="X19" s="1553"/>
      <c r="Y19" s="3511"/>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511"/>
      <c r="Q20" s="1558"/>
      <c r="R20" s="1559"/>
      <c r="S20" s="1560"/>
      <c r="T20" s="1559"/>
      <c r="U20" s="1560"/>
      <c r="V20" s="1559"/>
      <c r="W20" s="1560"/>
      <c r="X20" s="1553"/>
      <c r="Y20" s="3511"/>
      <c r="Z20" s="1561"/>
      <c r="AA20" s="1562">
        <v>1</v>
      </c>
      <c r="AB20" s="1562">
        <v>1</v>
      </c>
      <c r="AC20" s="1562">
        <v>1</v>
      </c>
    </row>
    <row r="21" spans="1:29" ht="15">
      <c r="A21" s="532"/>
      <c r="B21" s="2557" t="s">
        <v>2551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511"/>
      <c r="Q21" s="2543" t="str">
        <f>B21</f>
        <v>基础设施水平</v>
      </c>
      <c r="R21" s="1559" t="s">
        <v>8</v>
      </c>
      <c r="S21" s="1560">
        <f>F21</f>
        <v>100</v>
      </c>
      <c r="T21" s="1559" t="s">
        <v>8</v>
      </c>
      <c r="U21" s="1560">
        <f>H21</f>
        <v>100</v>
      </c>
      <c r="V21" s="1559" t="s">
        <v>8</v>
      </c>
      <c r="W21" s="1560">
        <f>J21</f>
        <v>100</v>
      </c>
      <c r="X21" s="2545"/>
      <c r="Y21" s="3511"/>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511"/>
      <c r="Q22" s="2543"/>
      <c r="R22" s="1559"/>
      <c r="S22" s="1560"/>
      <c r="T22" s="1559"/>
      <c r="U22" s="1560"/>
      <c r="V22" s="1559"/>
      <c r="W22" s="1560"/>
      <c r="X22" s="2545"/>
      <c r="Y22" s="3511"/>
      <c r="Z22" s="2544"/>
      <c r="AA22" s="1562">
        <v>1</v>
      </c>
      <c r="AB22" s="1562">
        <v>1</v>
      </c>
      <c r="AC22" s="1562">
        <v>1</v>
      </c>
    </row>
    <row r="23" spans="1:29" ht="15">
      <c r="A23" s="532"/>
      <c r="B23" s="871" t="s">
        <v>297</v>
      </c>
      <c r="C23" s="899" t="str">
        <f>估价对象房地状况!C9</f>
        <v>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511"/>
      <c r="Q23" s="1558" t="str">
        <f>B23</f>
        <v>自然及人文环境</v>
      </c>
      <c r="R23" s="1559" t="s">
        <v>8</v>
      </c>
      <c r="S23" s="1560">
        <f>F23</f>
        <v>100</v>
      </c>
      <c r="T23" s="1559" t="s">
        <v>8</v>
      </c>
      <c r="U23" s="1560">
        <f>H23</f>
        <v>100</v>
      </c>
      <c r="V23" s="1559" t="s">
        <v>8</v>
      </c>
      <c r="W23" s="1560">
        <f>J23</f>
        <v>100</v>
      </c>
      <c r="X23" s="1553"/>
      <c r="Y23" s="3511"/>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511"/>
      <c r="Q24" s="1558"/>
      <c r="R24" s="1559"/>
      <c r="S24" s="1560"/>
      <c r="T24" s="1559"/>
      <c r="U24" s="1560"/>
      <c r="V24" s="1559"/>
      <c r="W24" s="1560"/>
      <c r="X24" s="1553"/>
      <c r="Y24" s="3511"/>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511"/>
      <c r="Q25" s="1558" t="str">
        <f t="shared" ref="Q25:Q46" si="11">B25</f>
        <v>临街状况</v>
      </c>
      <c r="R25" s="1559" t="s">
        <v>8</v>
      </c>
      <c r="S25" s="1560">
        <f>F25</f>
        <v>100</v>
      </c>
      <c r="T25" s="1559" t="s">
        <v>8</v>
      </c>
      <c r="U25" s="1560">
        <f>H25</f>
        <v>100</v>
      </c>
      <c r="V25" s="1559" t="s">
        <v>8</v>
      </c>
      <c r="W25" s="1560">
        <f>J25</f>
        <v>100</v>
      </c>
      <c r="X25" s="1553"/>
      <c r="Y25" s="3511"/>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511"/>
      <c r="Q26" s="1558" t="str">
        <f t="shared" si="11"/>
        <v>平面位置/可视性</v>
      </c>
      <c r="R26" s="1559" t="s">
        <v>8</v>
      </c>
      <c r="S26" s="1560">
        <f>F26</f>
        <v>100</v>
      </c>
      <c r="T26" s="1559" t="s">
        <v>8</v>
      </c>
      <c r="U26" s="1560">
        <f>H26</f>
        <v>100</v>
      </c>
      <c r="V26" s="1559" t="s">
        <v>8</v>
      </c>
      <c r="W26" s="1560">
        <f>J26</f>
        <v>100</v>
      </c>
      <c r="X26" s="1553"/>
      <c r="Y26" s="3511"/>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511"/>
      <c r="Q27" s="1146" t="str">
        <f t="shared" si="11"/>
        <v>人流量</v>
      </c>
      <c r="R27" s="1554" t="s">
        <v>8</v>
      </c>
      <c r="S27" s="1555">
        <f>F27</f>
        <v>100</v>
      </c>
      <c r="T27" s="1554" t="s">
        <v>8</v>
      </c>
      <c r="U27" s="1555">
        <f>H27</f>
        <v>100</v>
      </c>
      <c r="V27" s="1554" t="s">
        <v>8</v>
      </c>
      <c r="W27" s="1555">
        <f>J27</f>
        <v>100</v>
      </c>
      <c r="X27" s="1556"/>
      <c r="Y27" s="3511"/>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51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51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511"/>
      <c r="Q29" s="1558">
        <f t="shared" si="11"/>
        <v>111</v>
      </c>
      <c r="R29" s="1559" t="s">
        <v>8</v>
      </c>
      <c r="S29" s="1560">
        <f t="shared" si="12"/>
        <v>100</v>
      </c>
      <c r="T29" s="1559" t="s">
        <v>8</v>
      </c>
      <c r="U29" s="1560">
        <f t="shared" si="13"/>
        <v>100</v>
      </c>
      <c r="V29" s="1559" t="s">
        <v>8</v>
      </c>
      <c r="W29" s="1560">
        <f t="shared" si="14"/>
        <v>100</v>
      </c>
      <c r="X29" s="1553"/>
      <c r="Y29" s="351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511"/>
      <c r="Q30" s="1558">
        <f t="shared" si="11"/>
        <v>111</v>
      </c>
      <c r="R30" s="1559" t="s">
        <v>8</v>
      </c>
      <c r="S30" s="1560">
        <f t="shared" si="12"/>
        <v>100</v>
      </c>
      <c r="T30" s="1559" t="s">
        <v>8</v>
      </c>
      <c r="U30" s="1560">
        <f t="shared" si="13"/>
        <v>100</v>
      </c>
      <c r="V30" s="1559" t="s">
        <v>8</v>
      </c>
      <c r="W30" s="1560">
        <f t="shared" si="14"/>
        <v>100</v>
      </c>
      <c r="X30" s="1553"/>
      <c r="Y30" s="3511"/>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511"/>
      <c r="Q31" s="1558">
        <f t="shared" si="11"/>
        <v>111</v>
      </c>
      <c r="R31" s="1559" t="s">
        <v>8</v>
      </c>
      <c r="S31" s="1560">
        <f t="shared" si="12"/>
        <v>100</v>
      </c>
      <c r="T31" s="1559" t="s">
        <v>8</v>
      </c>
      <c r="U31" s="1560">
        <f t="shared" si="13"/>
        <v>100</v>
      </c>
      <c r="V31" s="1559" t="s">
        <v>8</v>
      </c>
      <c r="W31" s="1560">
        <f t="shared" si="14"/>
        <v>100</v>
      </c>
      <c r="X31" s="1553"/>
      <c r="Y31" s="3511"/>
      <c r="Z31" s="1561">
        <f t="shared" si="15"/>
        <v>111</v>
      </c>
      <c r="AA31" s="1562">
        <f t="shared" si="3"/>
        <v>1</v>
      </c>
      <c r="AB31" s="1562">
        <f t="shared" si="4"/>
        <v>1</v>
      </c>
      <c r="AC31" s="1562">
        <f t="shared" si="5"/>
        <v>1</v>
      </c>
    </row>
    <row r="32" spans="1:29" ht="15">
      <c r="A32" s="2862" t="s">
        <v>2748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512" t="s">
        <v>549</v>
      </c>
      <c r="Q32" s="1558" t="str">
        <f t="shared" si="11"/>
        <v>商业类型</v>
      </c>
      <c r="R32" s="1559" t="s">
        <v>8</v>
      </c>
      <c r="S32" s="1560">
        <f t="shared" si="12"/>
        <v>100</v>
      </c>
      <c r="T32" s="1559" t="s">
        <v>8</v>
      </c>
      <c r="U32" s="1560">
        <f t="shared" si="13"/>
        <v>100</v>
      </c>
      <c r="V32" s="1559" t="s">
        <v>8</v>
      </c>
      <c r="W32" s="1560">
        <f t="shared" si="14"/>
        <v>100</v>
      </c>
      <c r="X32" s="1553"/>
      <c r="Y32" s="3513"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513"/>
      <c r="Q33" s="1590" t="str">
        <f t="shared" si="11"/>
        <v>项目建筑规模</v>
      </c>
      <c r="R33" s="1563" t="s">
        <v>8</v>
      </c>
      <c r="S33" s="1564" t="e">
        <f t="shared" si="12"/>
        <v>#N/A</v>
      </c>
      <c r="T33" s="1563" t="s">
        <v>8</v>
      </c>
      <c r="U33" s="1564" t="e">
        <f t="shared" si="13"/>
        <v>#N/A</v>
      </c>
      <c r="V33" s="1563" t="s">
        <v>8</v>
      </c>
      <c r="W33" s="1564" t="e">
        <f t="shared" si="14"/>
        <v>#N/A</v>
      </c>
      <c r="X33" s="1565"/>
      <c r="Y33" s="3513"/>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513"/>
      <c r="Q34" s="1558" t="str">
        <f t="shared" si="11"/>
        <v>建筑结构</v>
      </c>
      <c r="R34" s="1559" t="s">
        <v>8</v>
      </c>
      <c r="S34" s="1560">
        <f t="shared" si="12"/>
        <v>100</v>
      </c>
      <c r="T34" s="1559" t="s">
        <v>8</v>
      </c>
      <c r="U34" s="1560">
        <f t="shared" si="13"/>
        <v>100</v>
      </c>
      <c r="V34" s="1559" t="s">
        <v>8</v>
      </c>
      <c r="W34" s="1560">
        <f t="shared" si="14"/>
        <v>100</v>
      </c>
      <c r="X34" s="1553"/>
      <c r="Y34" s="3513"/>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513"/>
      <c r="Q35" s="1558" t="str">
        <f t="shared" si="11"/>
        <v>公共部分装修</v>
      </c>
      <c r="R35" s="1559" t="s">
        <v>8</v>
      </c>
      <c r="S35" s="1560">
        <f t="shared" si="12"/>
        <v>100</v>
      </c>
      <c r="T35" s="1559" t="s">
        <v>8</v>
      </c>
      <c r="U35" s="1560">
        <f t="shared" si="13"/>
        <v>100</v>
      </c>
      <c r="V35" s="1559" t="s">
        <v>8</v>
      </c>
      <c r="W35" s="1560">
        <f t="shared" si="14"/>
        <v>100</v>
      </c>
      <c r="X35" s="1553"/>
      <c r="Y35" s="3513"/>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513"/>
      <c r="Q36" s="1558" t="str">
        <f t="shared" si="11"/>
        <v>成新度</v>
      </c>
      <c r="R36" s="1559" t="s">
        <v>8</v>
      </c>
      <c r="S36" s="1560" t="e">
        <f t="shared" si="12"/>
        <v>#N/A</v>
      </c>
      <c r="T36" s="1559" t="s">
        <v>8</v>
      </c>
      <c r="U36" s="1560" t="e">
        <f t="shared" si="13"/>
        <v>#N/A</v>
      </c>
      <c r="V36" s="1559" t="s">
        <v>8</v>
      </c>
      <c r="W36" s="1560" t="e">
        <f t="shared" si="14"/>
        <v>#N/A</v>
      </c>
      <c r="X36" s="1553"/>
      <c r="Y36" s="3513"/>
      <c r="Z36" s="1561" t="str">
        <f t="shared" si="15"/>
        <v>成新度</v>
      </c>
      <c r="AA36" s="1562" t="e">
        <f t="shared" si="3"/>
        <v>#N/A</v>
      </c>
      <c r="AB36" s="1562" t="e">
        <f t="shared" si="4"/>
        <v>#N/A</v>
      </c>
      <c r="AC36" s="1562" t="e">
        <f t="shared" si="5"/>
        <v>#N/A</v>
      </c>
    </row>
    <row r="37" spans="1:29" s="1215" customFormat="1" ht="15">
      <c r="A37" s="600"/>
      <c r="B37" s="1880" t="s">
        <v>2558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513"/>
      <c r="Q37" s="1146" t="str">
        <f t="shared" si="11"/>
        <v>市政基础设施</v>
      </c>
      <c r="R37" s="1554" t="s">
        <v>8</v>
      </c>
      <c r="S37" s="1555">
        <f t="shared" si="12"/>
        <v>100</v>
      </c>
      <c r="T37" s="1554" t="s">
        <v>8</v>
      </c>
      <c r="U37" s="1555">
        <f t="shared" si="13"/>
        <v>100</v>
      </c>
      <c r="V37" s="1554" t="s">
        <v>8</v>
      </c>
      <c r="W37" s="1555">
        <f t="shared" si="14"/>
        <v>100</v>
      </c>
      <c r="X37" s="1556"/>
      <c r="Y37" s="3513"/>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513" t="s">
        <v>765</v>
      </c>
      <c r="Q38" s="1558" t="str">
        <f t="shared" si="11"/>
        <v>业态</v>
      </c>
      <c r="R38" s="1559" t="s">
        <v>8</v>
      </c>
      <c r="S38" s="1560">
        <f t="shared" si="12"/>
        <v>100</v>
      </c>
      <c r="T38" s="1559" t="s">
        <v>8</v>
      </c>
      <c r="U38" s="1560">
        <f t="shared" si="13"/>
        <v>100</v>
      </c>
      <c r="V38" s="1559" t="s">
        <v>8</v>
      </c>
      <c r="W38" s="1560">
        <f t="shared" si="14"/>
        <v>100</v>
      </c>
      <c r="X38" s="1553"/>
      <c r="Y38" s="3513"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513"/>
      <c r="Q39" s="1558" t="str">
        <f t="shared" si="11"/>
        <v>层高</v>
      </c>
      <c r="R39" s="1559" t="s">
        <v>8</v>
      </c>
      <c r="S39" s="1560">
        <f t="shared" si="12"/>
        <v>100</v>
      </c>
      <c r="T39" s="1559" t="s">
        <v>8</v>
      </c>
      <c r="U39" s="1560">
        <f t="shared" si="13"/>
        <v>100</v>
      </c>
      <c r="V39" s="1559" t="s">
        <v>8</v>
      </c>
      <c r="W39" s="1560">
        <f t="shared" si="14"/>
        <v>100</v>
      </c>
      <c r="X39" s="1553"/>
      <c r="Y39" s="3513"/>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513"/>
      <c r="Q40" s="1558" t="str">
        <f t="shared" si="11"/>
        <v>单套建筑面积</v>
      </c>
      <c r="R40" s="1559" t="s">
        <v>8</v>
      </c>
      <c r="S40" s="1560">
        <f t="shared" si="12"/>
        <v>100</v>
      </c>
      <c r="T40" s="1559" t="s">
        <v>8</v>
      </c>
      <c r="U40" s="1560">
        <f t="shared" si="13"/>
        <v>100</v>
      </c>
      <c r="V40" s="1559" t="s">
        <v>8</v>
      </c>
      <c r="W40" s="1560">
        <f t="shared" si="14"/>
        <v>100</v>
      </c>
      <c r="X40" s="1553"/>
      <c r="Y40" s="3513"/>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513"/>
      <c r="Q41" s="1590" t="str">
        <f t="shared" si="11"/>
        <v>进深比</v>
      </c>
      <c r="R41" s="1563" t="s">
        <v>8</v>
      </c>
      <c r="S41" s="1564">
        <f t="shared" si="12"/>
        <v>100</v>
      </c>
      <c r="T41" s="1563" t="s">
        <v>8</v>
      </c>
      <c r="U41" s="1564">
        <f t="shared" si="13"/>
        <v>100</v>
      </c>
      <c r="V41" s="1563" t="s">
        <v>8</v>
      </c>
      <c r="W41" s="1564">
        <f t="shared" si="14"/>
        <v>100</v>
      </c>
      <c r="X41" s="1565"/>
      <c r="Y41" s="3513"/>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513"/>
      <c r="Q42" s="1558" t="str">
        <f t="shared" si="11"/>
        <v>内部装修</v>
      </c>
      <c r="R42" s="1559" t="s">
        <v>8</v>
      </c>
      <c r="S42" s="1560">
        <f t="shared" si="12"/>
        <v>100</v>
      </c>
      <c r="T42" s="1559" t="s">
        <v>8</v>
      </c>
      <c r="U42" s="1560">
        <f t="shared" si="13"/>
        <v>100</v>
      </c>
      <c r="V42" s="1559" t="s">
        <v>8</v>
      </c>
      <c r="W42" s="1560">
        <f t="shared" si="14"/>
        <v>100</v>
      </c>
      <c r="X42" s="1553"/>
      <c r="Y42" s="3513"/>
      <c r="Z42" s="1561" t="str">
        <f t="shared" si="15"/>
        <v>内部装修</v>
      </c>
      <c r="AA42" s="1562">
        <f t="shared" si="3"/>
        <v>1</v>
      </c>
      <c r="AB42" s="1562">
        <f t="shared" si="4"/>
        <v>1</v>
      </c>
      <c r="AC42" s="1562">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513"/>
      <c r="Q43" s="1558" t="str">
        <f t="shared" si="11"/>
        <v>内部装修维护情况</v>
      </c>
      <c r="R43" s="1559" t="s">
        <v>8</v>
      </c>
      <c r="S43" s="1560">
        <f t="shared" si="12"/>
        <v>100</v>
      </c>
      <c r="T43" s="1559" t="s">
        <v>8</v>
      </c>
      <c r="U43" s="1560">
        <f t="shared" si="13"/>
        <v>100</v>
      </c>
      <c r="V43" s="1559" t="s">
        <v>8</v>
      </c>
      <c r="W43" s="1560">
        <f t="shared" si="14"/>
        <v>100</v>
      </c>
      <c r="X43" s="1553"/>
      <c r="Y43" s="3513"/>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513"/>
      <c r="Q44" s="1146">
        <f t="shared" si="11"/>
        <v>111</v>
      </c>
      <c r="R44" s="1554" t="s">
        <v>8</v>
      </c>
      <c r="S44" s="1555">
        <f t="shared" si="12"/>
        <v>100</v>
      </c>
      <c r="T44" s="1554" t="s">
        <v>8</v>
      </c>
      <c r="U44" s="1555">
        <f t="shared" si="13"/>
        <v>100</v>
      </c>
      <c r="V44" s="1554" t="s">
        <v>8</v>
      </c>
      <c r="W44" s="1555">
        <f t="shared" si="14"/>
        <v>100</v>
      </c>
      <c r="X44" s="1556"/>
      <c r="Y44" s="351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513"/>
      <c r="Q45" s="1558">
        <f t="shared" si="11"/>
        <v>111</v>
      </c>
      <c r="R45" s="1559" t="s">
        <v>8</v>
      </c>
      <c r="S45" s="1560">
        <f t="shared" si="12"/>
        <v>100</v>
      </c>
      <c r="T45" s="1559" t="s">
        <v>8</v>
      </c>
      <c r="U45" s="1560">
        <f t="shared" si="13"/>
        <v>100</v>
      </c>
      <c r="V45" s="1559" t="s">
        <v>8</v>
      </c>
      <c r="W45" s="1560">
        <f t="shared" si="14"/>
        <v>100</v>
      </c>
      <c r="X45" s="1553"/>
      <c r="Y45" s="3513"/>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71"/>
      <c r="Q46" s="1558">
        <f t="shared" si="11"/>
        <v>111</v>
      </c>
      <c r="R46" s="1559" t="s">
        <v>8</v>
      </c>
      <c r="S46" s="1560">
        <f t="shared" si="12"/>
        <v>100</v>
      </c>
      <c r="T46" s="1559" t="s">
        <v>8</v>
      </c>
      <c r="U46" s="1560">
        <f t="shared" si="13"/>
        <v>100</v>
      </c>
      <c r="V46" s="1559" t="s">
        <v>8</v>
      </c>
      <c r="W46" s="1560">
        <f t="shared" si="14"/>
        <v>100</v>
      </c>
      <c r="X46" s="1553"/>
      <c r="Y46" s="3571"/>
      <c r="Z46" s="1561">
        <f t="shared" si="15"/>
        <v>111</v>
      </c>
      <c r="AA46" s="1562">
        <f t="shared" si="3"/>
        <v>1</v>
      </c>
      <c r="AB46" s="1562">
        <f t="shared" si="4"/>
        <v>1</v>
      </c>
      <c r="AC46" s="1562">
        <f t="shared" si="5"/>
        <v>1</v>
      </c>
    </row>
    <row r="47" spans="1:29" ht="15">
      <c r="A47" s="607" t="s">
        <v>735</v>
      </c>
      <c r="B47" s="886"/>
      <c r="C47" s="2591" t="s">
        <v>1</v>
      </c>
      <c r="D47" s="2592"/>
      <c r="E47" s="2593"/>
      <c r="F47" s="2594"/>
      <c r="G47" s="2595"/>
      <c r="H47" s="2596"/>
      <c r="I47" s="2593"/>
      <c r="J47" s="2596"/>
      <c r="K47" s="1596"/>
      <c r="L47" s="2129"/>
      <c r="M47" s="2130"/>
      <c r="N47" s="2119"/>
      <c r="O47" s="2130"/>
      <c r="P47" s="3476" t="str">
        <f>A47</f>
        <v>成交单价（元/平方米）</v>
      </c>
      <c r="Q47" s="3476"/>
      <c r="R47" s="3570">
        <f>E47</f>
        <v>0</v>
      </c>
      <c r="S47" s="3570"/>
      <c r="T47" s="3570">
        <f>G47</f>
        <v>0</v>
      </c>
      <c r="U47" s="3570"/>
      <c r="V47" s="3570">
        <f>I47</f>
        <v>0</v>
      </c>
      <c r="W47" s="3570"/>
      <c r="X47" s="1545"/>
      <c r="Y47" s="1567"/>
      <c r="Z47" s="1545"/>
      <c r="AA47" s="1545"/>
      <c r="AB47" s="1545"/>
      <c r="AC47" s="1545"/>
    </row>
    <row r="48" spans="1:29" ht="15.75" thickBot="1">
      <c r="A48" s="615" t="s">
        <v>2753</v>
      </c>
      <c r="B48" s="887"/>
      <c r="C48" s="2597" t="e">
        <f>R49</f>
        <v>#DIV/0!</v>
      </c>
      <c r="D48" s="2598"/>
      <c r="E48" s="2599" t="e">
        <f>R48</f>
        <v>#DIV/0!</v>
      </c>
      <c r="F48" s="2599"/>
      <c r="G48" s="2597" t="e">
        <f>T48</f>
        <v>#DIV/0!</v>
      </c>
      <c r="H48" s="2598"/>
      <c r="I48" s="2599" t="e">
        <f>V48</f>
        <v>#DIV/0!</v>
      </c>
      <c r="J48" s="2598"/>
      <c r="K48" s="1597"/>
      <c r="L48" s="2129"/>
      <c r="M48" s="2130"/>
      <c r="N48" s="2119"/>
      <c r="O48" s="2130"/>
      <c r="P48" s="3476" t="str">
        <f>A48</f>
        <v>比较价格（元/平方米）</v>
      </c>
      <c r="Q48" s="3476"/>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45"/>
      <c r="Y48" s="1545"/>
      <c r="Z48" s="1545"/>
      <c r="AA48" s="1545"/>
      <c r="AB48" s="1545"/>
      <c r="AC48" s="1545"/>
    </row>
    <row r="49" spans="1:29" ht="15.75" thickBot="1">
      <c r="A49" s="621" t="s">
        <v>2922</v>
      </c>
      <c r="B49" s="622"/>
      <c r="C49" s="2600" t="e">
        <f>R49</f>
        <v>#DIV/0!</v>
      </c>
      <c r="D49" s="2600"/>
      <c r="E49" s="2600"/>
      <c r="F49" s="2600"/>
      <c r="G49" s="2600"/>
      <c r="H49" s="2600"/>
      <c r="I49" s="2600"/>
      <c r="J49" s="2600"/>
      <c r="K49" s="1598"/>
      <c r="L49" s="2129"/>
      <c r="M49" s="2130"/>
      <c r="N49" s="2119"/>
      <c r="O49" s="2130"/>
      <c r="P49" s="3473" t="str">
        <f>A49</f>
        <v>估价对象XX用房的比较价格（楼面单价，元/平方米）</v>
      </c>
      <c r="Q49" s="3474"/>
      <c r="R49" s="3569" t="e">
        <f>IF(F1="售价",ROUND(AVERAGE(R48:V48),0),ROUND(AVERAGE(R48:V48),1))</f>
        <v>#DIV/0!</v>
      </c>
      <c r="S49" s="3569"/>
      <c r="T49" s="3569"/>
      <c r="U49" s="3569"/>
      <c r="V49" s="3569"/>
      <c r="W49" s="3569"/>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528</v>
      </c>
      <c r="B58" s="646"/>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2550</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2551</v>
      </c>
      <c r="C82" s="2562" t="s">
        <v>2552</v>
      </c>
      <c r="D82" s="2562" t="s">
        <v>2553</v>
      </c>
      <c r="E82" s="2562" t="s">
        <v>2554</v>
      </c>
      <c r="F82" s="2562" t="s">
        <v>2555</v>
      </c>
      <c r="G82" s="2562" t="s">
        <v>2556</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2549</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482" t="s">
        <v>521</v>
      </c>
      <c r="D4" s="3483"/>
      <c r="E4" s="3516" t="s">
        <v>522</v>
      </c>
      <c r="F4" s="3517"/>
      <c r="G4" s="3482" t="s">
        <v>523</v>
      </c>
      <c r="H4" s="3483"/>
      <c r="I4" s="3482" t="s">
        <v>524</v>
      </c>
      <c r="J4" s="3483"/>
      <c r="K4" s="514" t="s">
        <v>525</v>
      </c>
      <c r="L4" s="2118"/>
      <c r="M4" s="2119"/>
      <c r="N4" s="2119"/>
      <c r="O4" s="2119"/>
      <c r="P4" s="3598" t="s">
        <v>526</v>
      </c>
      <c r="Q4" s="3485"/>
      <c r="R4" s="3490" t="s">
        <v>522</v>
      </c>
      <c r="S4" s="3491"/>
      <c r="T4" s="3490" t="s">
        <v>523</v>
      </c>
      <c r="U4" s="3491"/>
      <c r="V4" s="3477" t="s">
        <v>524</v>
      </c>
      <c r="W4" s="3477"/>
      <c r="X4" s="1553"/>
      <c r="Y4" s="3490" t="s">
        <v>526</v>
      </c>
      <c r="Z4" s="3491"/>
      <c r="AA4" s="3479" t="s">
        <v>522</v>
      </c>
      <c r="AB4" s="3479" t="s">
        <v>523</v>
      </c>
      <c r="AC4" s="3479" t="s">
        <v>524</v>
      </c>
    </row>
    <row r="5" spans="1:29" ht="15">
      <c r="A5" s="515"/>
      <c r="B5" s="516"/>
      <c r="C5" s="3498" t="s">
        <v>2916</v>
      </c>
      <c r="D5" s="3499"/>
      <c r="E5" s="3518" t="s">
        <v>2917</v>
      </c>
      <c r="F5" s="3519"/>
      <c r="G5" s="3498" t="s">
        <v>2918</v>
      </c>
      <c r="H5" s="3499"/>
      <c r="I5" s="3498" t="s">
        <v>2919</v>
      </c>
      <c r="J5" s="3499"/>
      <c r="K5" s="514"/>
      <c r="L5" s="2118"/>
      <c r="M5" s="2119"/>
      <c r="N5" s="2119"/>
      <c r="O5" s="2119"/>
      <c r="P5" s="3599"/>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600"/>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509" t="s">
        <v>529</v>
      </c>
      <c r="Q7" s="3509"/>
      <c r="R7" s="1554" t="s">
        <v>8</v>
      </c>
      <c r="S7" s="1555">
        <f t="shared" ref="S7:S15" si="0">F7</f>
        <v>0</v>
      </c>
      <c r="T7" s="1554" t="s">
        <v>8</v>
      </c>
      <c r="U7" s="1555">
        <f t="shared" ref="U7:U15" si="1">H7</f>
        <v>0</v>
      </c>
      <c r="V7" s="1554" t="s">
        <v>8</v>
      </c>
      <c r="W7" s="1555">
        <f t="shared" ref="W7:W15"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509" t="s">
        <v>532</v>
      </c>
      <c r="Q8" s="3508"/>
      <c r="R8" s="1554" t="s">
        <v>8</v>
      </c>
      <c r="S8" s="1555">
        <f t="shared" si="0"/>
        <v>0</v>
      </c>
      <c r="T8" s="1554" t="s">
        <v>8</v>
      </c>
      <c r="U8" s="1555">
        <f t="shared" si="1"/>
        <v>0</v>
      </c>
      <c r="V8" s="1554" t="s">
        <v>8</v>
      </c>
      <c r="W8" s="1555">
        <f t="shared" si="2"/>
        <v>0</v>
      </c>
      <c r="X8" s="1556"/>
      <c r="Y8" s="3507" t="s">
        <v>532</v>
      </c>
      <c r="Z8" s="3508"/>
      <c r="AA8" s="1557" t="e">
        <f t="shared" ref="AA8:AA47" si="3">D8/F8</f>
        <v>#DIV/0!</v>
      </c>
      <c r="AB8" s="1557" t="e">
        <f t="shared" ref="AB8:AB47" si="4">D8/H8</f>
        <v>#DIV/0!</v>
      </c>
      <c r="AC8" s="1557" t="e">
        <f t="shared" ref="AC8:AC47" si="5">D8/J8</f>
        <v>#DIV/0!</v>
      </c>
    </row>
    <row r="9" spans="1:29" s="1215" customFormat="1" ht="15">
      <c r="A9" s="2868"/>
      <c r="B9" s="2875" t="s">
        <v>2749</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76"/>
      <c r="Q11" s="1146" t="str">
        <f t="shared" si="6"/>
        <v>容积率</v>
      </c>
      <c r="R11" s="1554" t="s">
        <v>8</v>
      </c>
      <c r="S11" s="1555" t="e">
        <f t="shared" si="0"/>
        <v>#N/A</v>
      </c>
      <c r="T11" s="1554" t="s">
        <v>8</v>
      </c>
      <c r="U11" s="1555" t="e">
        <f t="shared" si="1"/>
        <v>#N/A</v>
      </c>
      <c r="V11" s="1554" t="s">
        <v>8</v>
      </c>
      <c r="W11" s="1555" t="e">
        <f t="shared" si="2"/>
        <v>#N/A</v>
      </c>
      <c r="X11" s="1556"/>
      <c r="Y11" s="339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 t="shared" si="3"/>
        <v>1</v>
      </c>
      <c r="AB14" s="1557">
        <f t="shared" si="4"/>
        <v>1</v>
      </c>
      <c r="AC14" s="1557">
        <f t="shared" si="5"/>
        <v>1</v>
      </c>
    </row>
    <row r="15" spans="1:29" ht="15">
      <c r="A15" s="2864" t="s">
        <v>2747</v>
      </c>
      <c r="B15" s="547" t="s">
        <v>541</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510" t="s">
        <v>539</v>
      </c>
      <c r="Q15" s="1558" t="str">
        <f t="shared" si="6"/>
        <v>办公集聚程度</v>
      </c>
      <c r="R15" s="1559" t="s">
        <v>8</v>
      </c>
      <c r="S15" s="1560">
        <f t="shared" si="0"/>
        <v>100</v>
      </c>
      <c r="T15" s="1559" t="s">
        <v>8</v>
      </c>
      <c r="U15" s="1560">
        <f t="shared" si="1"/>
        <v>100</v>
      </c>
      <c r="V15" s="1559" t="s">
        <v>8</v>
      </c>
      <c r="W15" s="1560">
        <f t="shared" si="2"/>
        <v>100</v>
      </c>
      <c r="X15" s="1553"/>
      <c r="Y15" s="3510"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511"/>
      <c r="Q16" s="1558"/>
      <c r="R16" s="1559"/>
      <c r="S16" s="1560"/>
      <c r="T16" s="1559"/>
      <c r="U16" s="1560"/>
      <c r="V16" s="1559"/>
      <c r="W16" s="1560"/>
      <c r="X16" s="1553"/>
      <c r="Y16" s="3511"/>
      <c r="Z16" s="1561"/>
      <c r="AA16" s="1562">
        <v>1</v>
      </c>
      <c r="AB16" s="1562">
        <v>1</v>
      </c>
      <c r="AC16" s="1562">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511"/>
      <c r="Q17" s="1558" t="str">
        <f>B17</f>
        <v>交通便捷度</v>
      </c>
      <c r="R17" s="1559" t="s">
        <v>8</v>
      </c>
      <c r="S17" s="1560">
        <f>F17</f>
        <v>100</v>
      </c>
      <c r="T17" s="1559" t="s">
        <v>8</v>
      </c>
      <c r="U17" s="1560">
        <f>H17</f>
        <v>100</v>
      </c>
      <c r="V17" s="1559" t="s">
        <v>8</v>
      </c>
      <c r="W17" s="1560">
        <f>J17</f>
        <v>100</v>
      </c>
      <c r="X17" s="1553"/>
      <c r="Y17" s="351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511"/>
      <c r="Q18" s="1558"/>
      <c r="R18" s="1559"/>
      <c r="S18" s="1560"/>
      <c r="T18" s="1559"/>
      <c r="U18" s="1560"/>
      <c r="V18" s="1559"/>
      <c r="W18" s="1560"/>
      <c r="X18" s="1553"/>
      <c r="Y18" s="3511"/>
      <c r="Z18" s="1561"/>
      <c r="AA18" s="1562">
        <v>1</v>
      </c>
      <c r="AB18" s="1562">
        <v>1</v>
      </c>
      <c r="AC18" s="1562">
        <v>1</v>
      </c>
    </row>
    <row r="19" spans="1:29" ht="15">
      <c r="A19" s="532"/>
      <c r="B19" s="2567" t="s">
        <v>2539</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511"/>
      <c r="Q19" s="1558" t="str">
        <f>B19</f>
        <v>公共配套设施</v>
      </c>
      <c r="R19" s="1559" t="s">
        <v>8</v>
      </c>
      <c r="S19" s="1560">
        <f>F19</f>
        <v>100</v>
      </c>
      <c r="T19" s="1559" t="s">
        <v>8</v>
      </c>
      <c r="U19" s="1560">
        <f>H19</f>
        <v>100</v>
      </c>
      <c r="V19" s="1559" t="s">
        <v>8</v>
      </c>
      <c r="W19" s="1560">
        <f>J19</f>
        <v>100</v>
      </c>
      <c r="X19" s="1553"/>
      <c r="Y19" s="351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511"/>
      <c r="Q20" s="1558"/>
      <c r="R20" s="1559"/>
      <c r="S20" s="1560"/>
      <c r="T20" s="1559"/>
      <c r="U20" s="1560"/>
      <c r="V20" s="1559"/>
      <c r="W20" s="1560"/>
      <c r="X20" s="1553"/>
      <c r="Y20" s="3511"/>
      <c r="Z20" s="1561"/>
      <c r="AA20" s="1562">
        <v>1</v>
      </c>
      <c r="AB20" s="1562">
        <v>1</v>
      </c>
      <c r="AC20" s="1562">
        <v>1</v>
      </c>
    </row>
    <row r="21" spans="1:29" ht="15">
      <c r="A21" s="532"/>
      <c r="B21" s="2555" t="s">
        <v>2551</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511"/>
      <c r="Q21" s="2543" t="str">
        <f>B21</f>
        <v>基础设施水平</v>
      </c>
      <c r="R21" s="1559" t="s">
        <v>8</v>
      </c>
      <c r="S21" s="1560">
        <f>F21</f>
        <v>100</v>
      </c>
      <c r="T21" s="1559" t="s">
        <v>8</v>
      </c>
      <c r="U21" s="1560">
        <f>H21</f>
        <v>100</v>
      </c>
      <c r="V21" s="1559" t="s">
        <v>8</v>
      </c>
      <c r="W21" s="1560">
        <f>J21</f>
        <v>100</v>
      </c>
      <c r="X21" s="2545"/>
      <c r="Y21" s="3511"/>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511"/>
      <c r="Q22" s="2543"/>
      <c r="R22" s="1559"/>
      <c r="S22" s="1560"/>
      <c r="T22" s="1559"/>
      <c r="U22" s="1560"/>
      <c r="V22" s="1559"/>
      <c r="W22" s="1560"/>
      <c r="X22" s="2545"/>
      <c r="Y22" s="3511"/>
      <c r="Z22" s="2544"/>
      <c r="AA22" s="1562">
        <v>1</v>
      </c>
      <c r="AB22" s="1562">
        <v>1</v>
      </c>
      <c r="AC22" s="1562">
        <v>1</v>
      </c>
    </row>
    <row r="23" spans="1:29" ht="15">
      <c r="A23" s="532"/>
      <c r="B23" s="560" t="s">
        <v>777</v>
      </c>
      <c r="C23" s="573" t="str">
        <f>估价对象房地状况!C9</f>
        <v>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511"/>
      <c r="Q23" s="1558" t="str">
        <f>B23</f>
        <v>环境质量</v>
      </c>
      <c r="R23" s="1559" t="s">
        <v>8</v>
      </c>
      <c r="S23" s="1560">
        <f>F23</f>
        <v>100</v>
      </c>
      <c r="T23" s="1559" t="s">
        <v>8</v>
      </c>
      <c r="U23" s="1560">
        <f>H23</f>
        <v>100</v>
      </c>
      <c r="V23" s="1559" t="s">
        <v>8</v>
      </c>
      <c r="W23" s="1560">
        <f>J23</f>
        <v>100</v>
      </c>
      <c r="X23" s="1553"/>
      <c r="Y23" s="351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511"/>
      <c r="Q24" s="1558"/>
      <c r="R24" s="1559"/>
      <c r="S24" s="1560"/>
      <c r="T24" s="1559"/>
      <c r="U24" s="1560"/>
      <c r="V24" s="1559"/>
      <c r="W24" s="1560"/>
      <c r="X24" s="1553"/>
      <c r="Y24" s="3511"/>
      <c r="Z24" s="1561"/>
      <c r="AA24" s="1562">
        <v>1</v>
      </c>
      <c r="AB24" s="1562">
        <v>1</v>
      </c>
      <c r="AC24" s="1562">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511"/>
      <c r="Q25" s="1558" t="str">
        <f>B25</f>
        <v>毗邻道路的类型与等级</v>
      </c>
      <c r="R25" s="1559" t="s">
        <v>8</v>
      </c>
      <c r="S25" s="1560">
        <f>F25</f>
        <v>100</v>
      </c>
      <c r="T25" s="1559" t="s">
        <v>8</v>
      </c>
      <c r="U25" s="1560">
        <f>H25</f>
        <v>100</v>
      </c>
      <c r="V25" s="1559" t="s">
        <v>8</v>
      </c>
      <c r="W25" s="1560">
        <f>J25</f>
        <v>100</v>
      </c>
      <c r="X25" s="1553"/>
      <c r="Y25" s="351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511"/>
      <c r="Q26" s="1558"/>
      <c r="R26" s="1559"/>
      <c r="S26" s="1560"/>
      <c r="T26" s="1559"/>
      <c r="U26" s="1560"/>
      <c r="V26" s="1559"/>
      <c r="W26" s="1560"/>
      <c r="X26" s="1553"/>
      <c r="Y26" s="3511"/>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511"/>
      <c r="Q27" s="1558" t="str">
        <f t="shared" ref="Q27:Q47" si="11">B27</f>
        <v>楼层</v>
      </c>
      <c r="R27" s="1559" t="s">
        <v>8</v>
      </c>
      <c r="S27" s="1560">
        <f>F27</f>
        <v>100</v>
      </c>
      <c r="T27" s="1559" t="s">
        <v>8</v>
      </c>
      <c r="U27" s="1560">
        <f>H27</f>
        <v>100</v>
      </c>
      <c r="V27" s="1559" t="s">
        <v>8</v>
      </c>
      <c r="W27" s="1560">
        <f>J27</f>
        <v>100</v>
      </c>
      <c r="X27" s="1553"/>
      <c r="Y27" s="3511"/>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511"/>
      <c r="Q28" s="1146" t="str">
        <f t="shared" si="11"/>
        <v>朝向</v>
      </c>
      <c r="R28" s="1554" t="s">
        <v>8</v>
      </c>
      <c r="S28" s="1555">
        <f>F28</f>
        <v>100</v>
      </c>
      <c r="T28" s="1554" t="s">
        <v>8</v>
      </c>
      <c r="U28" s="1555">
        <f>H28</f>
        <v>100</v>
      </c>
      <c r="V28" s="1554" t="s">
        <v>8</v>
      </c>
      <c r="W28" s="1555">
        <f>J28</f>
        <v>100</v>
      </c>
      <c r="X28" s="1556"/>
      <c r="Y28" s="3511"/>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511"/>
      <c r="Q29" s="1558">
        <f t="shared" si="11"/>
        <v>111</v>
      </c>
      <c r="R29" s="1559" t="s">
        <v>8</v>
      </c>
      <c r="S29" s="1560">
        <f t="shared" ref="S29:S47" si="12">F29</f>
        <v>100</v>
      </c>
      <c r="T29" s="1559" t="s">
        <v>8</v>
      </c>
      <c r="U29" s="1560">
        <f t="shared" ref="U29:U47" si="13">H29</f>
        <v>100</v>
      </c>
      <c r="V29" s="1559" t="s">
        <v>8</v>
      </c>
      <c r="W29" s="1560">
        <f t="shared" ref="W29:W47" si="14">J29</f>
        <v>100</v>
      </c>
      <c r="X29" s="1553"/>
      <c r="Y29" s="3511"/>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511"/>
      <c r="Q30" s="1558">
        <f t="shared" si="11"/>
        <v>111</v>
      </c>
      <c r="R30" s="1559" t="s">
        <v>8</v>
      </c>
      <c r="S30" s="1560">
        <f t="shared" si="12"/>
        <v>100</v>
      </c>
      <c r="T30" s="1559" t="s">
        <v>8</v>
      </c>
      <c r="U30" s="1560">
        <f t="shared" si="13"/>
        <v>100</v>
      </c>
      <c r="V30" s="1559" t="s">
        <v>8</v>
      </c>
      <c r="W30" s="1560">
        <f t="shared" si="14"/>
        <v>100</v>
      </c>
      <c r="X30" s="1553"/>
      <c r="Y30" s="3511"/>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511"/>
      <c r="Q31" s="1558">
        <f t="shared" si="11"/>
        <v>111</v>
      </c>
      <c r="R31" s="1559" t="s">
        <v>8</v>
      </c>
      <c r="S31" s="1560">
        <f t="shared" si="12"/>
        <v>100</v>
      </c>
      <c r="T31" s="1559" t="s">
        <v>8</v>
      </c>
      <c r="U31" s="1560">
        <f t="shared" si="13"/>
        <v>100</v>
      </c>
      <c r="V31" s="1559" t="s">
        <v>8</v>
      </c>
      <c r="W31" s="1560">
        <f t="shared" si="14"/>
        <v>100</v>
      </c>
      <c r="X31" s="1553"/>
      <c r="Y31" s="3511"/>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511"/>
      <c r="Q32" s="1558">
        <f t="shared" si="11"/>
        <v>111</v>
      </c>
      <c r="R32" s="1559" t="s">
        <v>8</v>
      </c>
      <c r="S32" s="1560">
        <f t="shared" si="12"/>
        <v>100</v>
      </c>
      <c r="T32" s="1559" t="s">
        <v>8</v>
      </c>
      <c r="U32" s="1560">
        <f t="shared" si="13"/>
        <v>100</v>
      </c>
      <c r="V32" s="1559" t="s">
        <v>8</v>
      </c>
      <c r="W32" s="1560">
        <f t="shared" si="14"/>
        <v>100</v>
      </c>
      <c r="X32" s="1553"/>
      <c r="Y32" s="3511"/>
      <c r="Z32" s="1561">
        <f t="shared" si="15"/>
        <v>111</v>
      </c>
      <c r="AA32" s="1562">
        <f t="shared" si="3"/>
        <v>1</v>
      </c>
      <c r="AB32" s="1562">
        <f t="shared" si="4"/>
        <v>1</v>
      </c>
      <c r="AC32" s="1562">
        <f t="shared" si="5"/>
        <v>1</v>
      </c>
    </row>
    <row r="33" spans="1:29" ht="15">
      <c r="A33" s="2862" t="s">
        <v>2748</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512" t="s">
        <v>549</v>
      </c>
      <c r="Q33" s="1558" t="str">
        <f t="shared" si="11"/>
        <v>建筑类型</v>
      </c>
      <c r="R33" s="1559" t="s">
        <v>8</v>
      </c>
      <c r="S33" s="1560">
        <f t="shared" si="12"/>
        <v>100</v>
      </c>
      <c r="T33" s="1559" t="s">
        <v>8</v>
      </c>
      <c r="U33" s="1560">
        <f t="shared" si="13"/>
        <v>100</v>
      </c>
      <c r="V33" s="1559" t="s">
        <v>8</v>
      </c>
      <c r="W33" s="1560">
        <f t="shared" si="14"/>
        <v>100</v>
      </c>
      <c r="X33" s="1553"/>
      <c r="Y33" s="3513"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513"/>
      <c r="Q34" s="1590" t="str">
        <f t="shared" si="11"/>
        <v>项目建筑规模</v>
      </c>
      <c r="R34" s="1563" t="s">
        <v>8</v>
      </c>
      <c r="S34" s="1564" t="e">
        <f t="shared" si="12"/>
        <v>#N/A</v>
      </c>
      <c r="T34" s="1563" t="s">
        <v>8</v>
      </c>
      <c r="U34" s="1564" t="e">
        <f t="shared" si="13"/>
        <v>#N/A</v>
      </c>
      <c r="V34" s="1563" t="s">
        <v>8</v>
      </c>
      <c r="W34" s="1564" t="e">
        <f t="shared" si="14"/>
        <v>#N/A</v>
      </c>
      <c r="X34" s="1565"/>
      <c r="Y34" s="3513"/>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513"/>
      <c r="Q35" s="1558" t="str">
        <f t="shared" si="11"/>
        <v>建筑结构</v>
      </c>
      <c r="R35" s="1559" t="s">
        <v>8</v>
      </c>
      <c r="S35" s="1560">
        <f t="shared" si="12"/>
        <v>100</v>
      </c>
      <c r="T35" s="1559" t="s">
        <v>8</v>
      </c>
      <c r="U35" s="1560">
        <f t="shared" si="13"/>
        <v>100</v>
      </c>
      <c r="V35" s="1559" t="s">
        <v>8</v>
      </c>
      <c r="W35" s="1560">
        <f t="shared" si="14"/>
        <v>100</v>
      </c>
      <c r="X35" s="1553"/>
      <c r="Y35" s="3513"/>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513"/>
      <c r="Q36" s="1558" t="str">
        <f t="shared" si="11"/>
        <v>公共部分装修</v>
      </c>
      <c r="R36" s="1559" t="s">
        <v>8</v>
      </c>
      <c r="S36" s="1560">
        <f t="shared" si="12"/>
        <v>100</v>
      </c>
      <c r="T36" s="1559" t="s">
        <v>8</v>
      </c>
      <c r="U36" s="1560">
        <f t="shared" si="13"/>
        <v>100</v>
      </c>
      <c r="V36" s="1559" t="s">
        <v>8</v>
      </c>
      <c r="W36" s="1560">
        <f t="shared" si="14"/>
        <v>100</v>
      </c>
      <c r="X36" s="1553"/>
      <c r="Y36" s="3513"/>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513"/>
      <c r="Q37" s="1558" t="str">
        <f t="shared" si="11"/>
        <v>成新度</v>
      </c>
      <c r="R37" s="1559" t="s">
        <v>8</v>
      </c>
      <c r="S37" s="1560" t="e">
        <f t="shared" si="12"/>
        <v>#N/A</v>
      </c>
      <c r="T37" s="1559" t="s">
        <v>8</v>
      </c>
      <c r="U37" s="1560" t="e">
        <f t="shared" si="13"/>
        <v>#N/A</v>
      </c>
      <c r="V37" s="1559" t="s">
        <v>8</v>
      </c>
      <c r="W37" s="1560" t="e">
        <f t="shared" si="14"/>
        <v>#N/A</v>
      </c>
      <c r="X37" s="1553"/>
      <c r="Y37" s="3513"/>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513"/>
      <c r="Q38" s="1146" t="str">
        <f t="shared" si="11"/>
        <v>写字楼等级</v>
      </c>
      <c r="R38" s="1554" t="s">
        <v>8</v>
      </c>
      <c r="S38" s="1555">
        <f t="shared" si="12"/>
        <v>100</v>
      </c>
      <c r="T38" s="1554" t="s">
        <v>8</v>
      </c>
      <c r="U38" s="1555">
        <f t="shared" si="13"/>
        <v>100</v>
      </c>
      <c r="V38" s="1554" t="s">
        <v>8</v>
      </c>
      <c r="W38" s="1555">
        <f t="shared" si="14"/>
        <v>100</v>
      </c>
      <c r="X38" s="1556"/>
      <c r="Y38" s="3513"/>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513" t="s">
        <v>549</v>
      </c>
      <c r="Q39" s="1558" t="str">
        <f t="shared" si="11"/>
        <v>物业管理</v>
      </c>
      <c r="R39" s="1559" t="s">
        <v>8</v>
      </c>
      <c r="S39" s="1560">
        <f t="shared" si="12"/>
        <v>100</v>
      </c>
      <c r="T39" s="1559" t="s">
        <v>8</v>
      </c>
      <c r="U39" s="1560">
        <f t="shared" si="13"/>
        <v>100</v>
      </c>
      <c r="V39" s="1559" t="s">
        <v>8</v>
      </c>
      <c r="W39" s="1560">
        <f t="shared" si="14"/>
        <v>100</v>
      </c>
      <c r="X39" s="1553"/>
      <c r="Y39" s="3513" t="s">
        <v>549</v>
      </c>
      <c r="Z39" s="1561" t="str">
        <f t="shared" si="15"/>
        <v>物业管理</v>
      </c>
      <c r="AA39" s="1562">
        <f t="shared" si="3"/>
        <v>1</v>
      </c>
      <c r="AB39" s="1562">
        <f t="shared" si="4"/>
        <v>1</v>
      </c>
      <c r="AC39" s="1562">
        <f t="shared" si="5"/>
        <v>1</v>
      </c>
    </row>
    <row r="40" spans="1:29" ht="15">
      <c r="A40" s="594"/>
      <c r="B40" s="1880" t="s">
        <v>2558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513"/>
      <c r="Q40" s="1558" t="str">
        <f t="shared" si="11"/>
        <v>市政基础设施</v>
      </c>
      <c r="R40" s="1559" t="s">
        <v>8</v>
      </c>
      <c r="S40" s="1560">
        <f t="shared" si="12"/>
        <v>100</v>
      </c>
      <c r="T40" s="1559" t="s">
        <v>8</v>
      </c>
      <c r="U40" s="1560">
        <f t="shared" si="13"/>
        <v>100</v>
      </c>
      <c r="V40" s="1559" t="s">
        <v>8</v>
      </c>
      <c r="W40" s="1560">
        <f t="shared" si="14"/>
        <v>100</v>
      </c>
      <c r="X40" s="1553"/>
      <c r="Y40" s="3513"/>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513"/>
      <c r="Q41" s="1558" t="str">
        <f t="shared" si="11"/>
        <v>层高</v>
      </c>
      <c r="R41" s="1559" t="s">
        <v>8</v>
      </c>
      <c r="S41" s="1560">
        <f t="shared" si="12"/>
        <v>100</v>
      </c>
      <c r="T41" s="1559" t="s">
        <v>8</v>
      </c>
      <c r="U41" s="1560">
        <f t="shared" si="13"/>
        <v>100</v>
      </c>
      <c r="V41" s="1559" t="s">
        <v>8</v>
      </c>
      <c r="W41" s="1560">
        <f t="shared" si="14"/>
        <v>100</v>
      </c>
      <c r="X41" s="1553"/>
      <c r="Y41" s="3513"/>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513"/>
      <c r="Q42" s="1590" t="str">
        <f t="shared" si="11"/>
        <v>单套建筑面积</v>
      </c>
      <c r="R42" s="1563" t="s">
        <v>8</v>
      </c>
      <c r="S42" s="1564">
        <f t="shared" si="12"/>
        <v>100</v>
      </c>
      <c r="T42" s="1563" t="s">
        <v>8</v>
      </c>
      <c r="U42" s="1564">
        <f t="shared" si="13"/>
        <v>100</v>
      </c>
      <c r="V42" s="1563" t="s">
        <v>8</v>
      </c>
      <c r="W42" s="1564">
        <f t="shared" si="14"/>
        <v>100</v>
      </c>
      <c r="X42" s="1565"/>
      <c r="Y42" s="3513"/>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513"/>
      <c r="Q43" s="1558" t="str">
        <f t="shared" si="11"/>
        <v>内部装修</v>
      </c>
      <c r="R43" s="1559" t="s">
        <v>8</v>
      </c>
      <c r="S43" s="1560">
        <f t="shared" si="12"/>
        <v>100</v>
      </c>
      <c r="T43" s="1559" t="s">
        <v>8</v>
      </c>
      <c r="U43" s="1560">
        <f t="shared" si="13"/>
        <v>100</v>
      </c>
      <c r="V43" s="1559" t="s">
        <v>8</v>
      </c>
      <c r="W43" s="1560">
        <f t="shared" si="14"/>
        <v>100</v>
      </c>
      <c r="X43" s="1553"/>
      <c r="Y43" s="3513"/>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513"/>
      <c r="Q44" s="1558" t="str">
        <f t="shared" si="11"/>
        <v>内部装修维护情况</v>
      </c>
      <c r="R44" s="1559" t="s">
        <v>8</v>
      </c>
      <c r="S44" s="1560">
        <f t="shared" si="12"/>
        <v>100</v>
      </c>
      <c r="T44" s="1559" t="s">
        <v>8</v>
      </c>
      <c r="U44" s="1560">
        <f t="shared" si="13"/>
        <v>100</v>
      </c>
      <c r="V44" s="1559" t="s">
        <v>8</v>
      </c>
      <c r="W44" s="1560">
        <f t="shared" si="14"/>
        <v>100</v>
      </c>
      <c r="X44" s="1553"/>
      <c r="Y44" s="3513"/>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513"/>
      <c r="Q45" s="1146">
        <f t="shared" si="11"/>
        <v>111</v>
      </c>
      <c r="R45" s="1554" t="s">
        <v>8</v>
      </c>
      <c r="S45" s="1555">
        <f t="shared" si="12"/>
        <v>100</v>
      </c>
      <c r="T45" s="1554" t="s">
        <v>8</v>
      </c>
      <c r="U45" s="1555">
        <f t="shared" si="13"/>
        <v>100</v>
      </c>
      <c r="V45" s="1554" t="s">
        <v>8</v>
      </c>
      <c r="W45" s="1555">
        <f t="shared" si="14"/>
        <v>100</v>
      </c>
      <c r="X45" s="1556"/>
      <c r="Y45" s="3513"/>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513"/>
      <c r="Q46" s="1558">
        <f t="shared" si="11"/>
        <v>111</v>
      </c>
      <c r="R46" s="1559" t="s">
        <v>8</v>
      </c>
      <c r="S46" s="1560">
        <f t="shared" si="12"/>
        <v>100</v>
      </c>
      <c r="T46" s="1559" t="s">
        <v>8</v>
      </c>
      <c r="U46" s="1560">
        <f t="shared" si="13"/>
        <v>100</v>
      </c>
      <c r="V46" s="1559" t="s">
        <v>8</v>
      </c>
      <c r="W46" s="1560">
        <f t="shared" si="14"/>
        <v>100</v>
      </c>
      <c r="X46" s="1553"/>
      <c r="Y46" s="3513"/>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71"/>
      <c r="Q47" s="1558">
        <f t="shared" si="11"/>
        <v>111</v>
      </c>
      <c r="R47" s="1559" t="s">
        <v>8</v>
      </c>
      <c r="S47" s="1560">
        <f t="shared" si="12"/>
        <v>100</v>
      </c>
      <c r="T47" s="1559" t="s">
        <v>8</v>
      </c>
      <c r="U47" s="1560">
        <f t="shared" si="13"/>
        <v>100</v>
      </c>
      <c r="V47" s="1559" t="s">
        <v>8</v>
      </c>
      <c r="W47" s="1560">
        <f t="shared" si="14"/>
        <v>100</v>
      </c>
      <c r="X47" s="1553"/>
      <c r="Y47" s="3571"/>
      <c r="Z47" s="1561">
        <f t="shared" si="15"/>
        <v>111</v>
      </c>
      <c r="AA47" s="1562">
        <f t="shared" si="3"/>
        <v>1</v>
      </c>
      <c r="AB47" s="1562">
        <f t="shared" si="4"/>
        <v>1</v>
      </c>
      <c r="AC47" s="1562">
        <f t="shared" si="5"/>
        <v>1</v>
      </c>
    </row>
    <row r="48" spans="1:29" ht="15">
      <c r="A48" s="607" t="s">
        <v>735</v>
      </c>
      <c r="B48" s="886"/>
      <c r="C48" s="2591" t="s">
        <v>1</v>
      </c>
      <c r="D48" s="2592"/>
      <c r="E48" s="2593"/>
      <c r="F48" s="2594"/>
      <c r="G48" s="2595"/>
      <c r="H48" s="2596"/>
      <c r="I48" s="2593"/>
      <c r="J48" s="2596"/>
      <c r="K48" s="1596"/>
      <c r="L48" s="2129"/>
      <c r="M48" s="2119"/>
      <c r="N48" s="2119"/>
      <c r="O48" s="2119"/>
      <c r="P48" s="3474" t="str">
        <f>A48</f>
        <v>成交单价（元/平方米）</v>
      </c>
      <c r="Q48" s="3476"/>
      <c r="R48" s="3570">
        <f>E48</f>
        <v>0</v>
      </c>
      <c r="S48" s="3570"/>
      <c r="T48" s="3570">
        <f>G48</f>
        <v>0</v>
      </c>
      <c r="U48" s="3570"/>
      <c r="V48" s="3570">
        <f>I48</f>
        <v>0</v>
      </c>
      <c r="W48" s="3570"/>
      <c r="X48" s="1545"/>
      <c r="Y48" s="1567"/>
      <c r="Z48" s="1545"/>
      <c r="AA48" s="1545"/>
      <c r="AB48" s="1545"/>
      <c r="AC48" s="1545"/>
    </row>
    <row r="49" spans="1:29" ht="15.75" thickBot="1">
      <c r="A49" s="615" t="s">
        <v>2753</v>
      </c>
      <c r="B49" s="887"/>
      <c r="C49" s="2597" t="e">
        <f>R50</f>
        <v>#DIV/0!</v>
      </c>
      <c r="D49" s="2598"/>
      <c r="E49" s="2599" t="e">
        <f>R49</f>
        <v>#DIV/0!</v>
      </c>
      <c r="F49" s="2599"/>
      <c r="G49" s="2597" t="e">
        <f>T49</f>
        <v>#DIV/0!</v>
      </c>
      <c r="H49" s="2598"/>
      <c r="I49" s="2599" t="e">
        <f>V49</f>
        <v>#DIV/0!</v>
      </c>
      <c r="J49" s="2598"/>
      <c r="K49" s="1597"/>
      <c r="L49" s="2129"/>
      <c r="M49" s="2119"/>
      <c r="N49" s="2119"/>
      <c r="O49" s="2119"/>
      <c r="P49" s="3474" t="str">
        <f>A49</f>
        <v>比较价格（元/平方米）</v>
      </c>
      <c r="Q49" s="3476"/>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545"/>
      <c r="Y49" s="1545"/>
      <c r="Z49" s="1545"/>
      <c r="AA49" s="1545"/>
      <c r="AB49" s="1545"/>
      <c r="AC49" s="1545"/>
    </row>
    <row r="50" spans="1:29" ht="15.75" thickBot="1">
      <c r="A50" s="621" t="s">
        <v>2922</v>
      </c>
      <c r="B50" s="622"/>
      <c r="C50" s="2600" t="e">
        <f>R50</f>
        <v>#DIV/0!</v>
      </c>
      <c r="D50" s="2600"/>
      <c r="E50" s="2600"/>
      <c r="F50" s="2600"/>
      <c r="G50" s="2600"/>
      <c r="H50" s="2600"/>
      <c r="I50" s="2600"/>
      <c r="J50" s="2600"/>
      <c r="K50" s="1598"/>
      <c r="L50" s="2129"/>
      <c r="M50" s="2119"/>
      <c r="N50" s="2119"/>
      <c r="O50" s="2119"/>
      <c r="P50" s="3597" t="str">
        <f>A50</f>
        <v>估价对象XX用房的比较价格（楼面单价，元/平方米）</v>
      </c>
      <c r="Q50" s="3474"/>
      <c r="R50" s="3569" t="e">
        <f>IF(F1="售价",ROUND(AVERAGE(R49:V49),0),ROUND(AVERAGE(R49:V49),1))</f>
        <v>#DIV/0!</v>
      </c>
      <c r="S50" s="3569"/>
      <c r="T50" s="3569"/>
      <c r="U50" s="3569"/>
      <c r="V50" s="3569"/>
      <c r="W50" s="3569"/>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528</v>
      </c>
      <c r="B59" s="646"/>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2550</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2551</v>
      </c>
      <c r="C83" s="2562" t="s">
        <v>2552</v>
      </c>
      <c r="D83" s="2562" t="s">
        <v>2553</v>
      </c>
      <c r="E83" s="2562" t="s">
        <v>2554</v>
      </c>
      <c r="F83" s="2562" t="s">
        <v>2555</v>
      </c>
      <c r="G83" s="2562" t="s">
        <v>2556</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2549</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482" t="s">
        <v>521</v>
      </c>
      <c r="D4" s="3483"/>
      <c r="E4" s="3516" t="s">
        <v>522</v>
      </c>
      <c r="F4" s="3517"/>
      <c r="G4" s="3482" t="s">
        <v>523</v>
      </c>
      <c r="H4" s="3483"/>
      <c r="I4" s="3482" t="s">
        <v>524</v>
      </c>
      <c r="J4" s="3483"/>
      <c r="K4" s="514" t="s">
        <v>525</v>
      </c>
      <c r="L4" s="2118"/>
      <c r="M4" s="2119"/>
      <c r="N4" s="2119"/>
      <c r="O4" s="2119"/>
      <c r="P4" s="3484" t="s">
        <v>526</v>
      </c>
      <c r="Q4" s="3485"/>
      <c r="R4" s="3490" t="s">
        <v>522</v>
      </c>
      <c r="S4" s="3491"/>
      <c r="T4" s="3490" t="s">
        <v>523</v>
      </c>
      <c r="U4" s="3491"/>
      <c r="V4" s="3477" t="s">
        <v>524</v>
      </c>
      <c r="W4" s="3477"/>
      <c r="X4" s="1553"/>
      <c r="Y4" s="3490" t="s">
        <v>526</v>
      </c>
      <c r="Z4" s="3491"/>
      <c r="AA4" s="3479" t="s">
        <v>522</v>
      </c>
      <c r="AB4" s="3480" t="s">
        <v>523</v>
      </c>
      <c r="AC4" s="3479" t="s">
        <v>524</v>
      </c>
    </row>
    <row r="5" spans="1:29" ht="15">
      <c r="A5" s="515"/>
      <c r="B5" s="516"/>
      <c r="C5" s="3498" t="s">
        <v>2916</v>
      </c>
      <c r="D5" s="3499"/>
      <c r="E5" s="3518" t="s">
        <v>2917</v>
      </c>
      <c r="F5" s="3519"/>
      <c r="G5" s="3498" t="s">
        <v>2918</v>
      </c>
      <c r="H5" s="3499"/>
      <c r="I5" s="3498" t="s">
        <v>2919</v>
      </c>
      <c r="J5" s="3499"/>
      <c r="K5" s="51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507" t="s">
        <v>529</v>
      </c>
      <c r="Q7" s="3509"/>
      <c r="R7" s="1554" t="s">
        <v>8</v>
      </c>
      <c r="S7" s="1555">
        <f t="shared" ref="S7:S15" si="0">F7</f>
        <v>0</v>
      </c>
      <c r="T7" s="1554" t="s">
        <v>8</v>
      </c>
      <c r="U7" s="1555">
        <f t="shared" ref="U7:U15" si="1">H7</f>
        <v>0</v>
      </c>
      <c r="V7" s="1554" t="s">
        <v>8</v>
      </c>
      <c r="W7" s="1555">
        <f t="shared" ref="W7:W15"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507" t="s">
        <v>532</v>
      </c>
      <c r="Q8" s="3508"/>
      <c r="R8" s="1554" t="s">
        <v>8</v>
      </c>
      <c r="S8" s="1555">
        <f t="shared" si="0"/>
        <v>0</v>
      </c>
      <c r="T8" s="1554" t="s">
        <v>8</v>
      </c>
      <c r="U8" s="1555">
        <f t="shared" si="1"/>
        <v>0</v>
      </c>
      <c r="V8" s="1554" t="s">
        <v>8</v>
      </c>
      <c r="W8" s="1555">
        <f t="shared" si="2"/>
        <v>0</v>
      </c>
      <c r="X8" s="1556"/>
      <c r="Y8" s="3507" t="s">
        <v>532</v>
      </c>
      <c r="Z8" s="3508"/>
      <c r="AA8" s="1557" t="e">
        <f t="shared" ref="AA8:AA40" si="3">D8/F8</f>
        <v>#DIV/0!</v>
      </c>
      <c r="AB8" s="1557" t="e">
        <f t="shared" ref="AB8:AB40" si="4">D8/H8</f>
        <v>#DIV/0!</v>
      </c>
      <c r="AC8" s="1557" t="e">
        <f t="shared" ref="AC8:AC40" si="5">D8/J8</f>
        <v>#DIV/0!</v>
      </c>
    </row>
    <row r="9" spans="1:29" s="1215" customFormat="1" ht="15">
      <c r="A9" s="2868"/>
      <c r="B9" s="2875" t="s">
        <v>2749</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76" t="s">
        <v>534</v>
      </c>
      <c r="Q9" s="1146" t="str">
        <f t="shared" ref="Q9:Q15" si="6">B9</f>
        <v>用途</v>
      </c>
      <c r="R9" s="1554" t="s">
        <v>8</v>
      </c>
      <c r="S9" s="1555">
        <f t="shared" si="0"/>
        <v>100</v>
      </c>
      <c r="T9" s="1554" t="s">
        <v>8</v>
      </c>
      <c r="U9" s="1555">
        <f t="shared" si="1"/>
        <v>100</v>
      </c>
      <c r="V9" s="1554" t="s">
        <v>8</v>
      </c>
      <c r="W9" s="1555">
        <f t="shared" si="2"/>
        <v>100</v>
      </c>
      <c r="X9" s="1556"/>
      <c r="Y9" s="3398" t="s">
        <v>535</v>
      </c>
      <c r="Z9" s="1145" t="str">
        <f t="shared" ref="Z9:Z15" si="7">Q9</f>
        <v>用途</v>
      </c>
      <c r="AA9" s="1557">
        <f t="shared" si="3"/>
        <v>1</v>
      </c>
      <c r="AB9" s="1557">
        <f t="shared" si="4"/>
        <v>1</v>
      </c>
      <c r="AC9" s="1557">
        <f t="shared" si="5"/>
        <v>1</v>
      </c>
    </row>
    <row r="10" spans="1:29" s="1333" customFormat="1" ht="27">
      <c r="A10" s="2869"/>
      <c r="B10" s="2874" t="s">
        <v>2750</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0"/>
      <c r="B11" s="2874"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76"/>
      <c r="Q11" s="1146" t="str">
        <f t="shared" si="6"/>
        <v>容积率</v>
      </c>
      <c r="R11" s="1554" t="s">
        <v>8</v>
      </c>
      <c r="S11" s="1555" t="e">
        <f t="shared" si="0"/>
        <v>#N/A</v>
      </c>
      <c r="T11" s="1554" t="s">
        <v>8</v>
      </c>
      <c r="U11" s="1555" t="e">
        <f t="shared" si="1"/>
        <v>#N/A</v>
      </c>
      <c r="V11" s="1554" t="s">
        <v>8</v>
      </c>
      <c r="W11" s="1555" t="e">
        <f t="shared" si="2"/>
        <v>#N/A</v>
      </c>
      <c r="X11" s="1556"/>
      <c r="Y11" s="3398"/>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476"/>
      <c r="Q14" s="1146">
        <f t="shared" si="6"/>
        <v>111</v>
      </c>
      <c r="R14" s="1554" t="s">
        <v>8</v>
      </c>
      <c r="S14" s="1555">
        <f t="shared" si="0"/>
        <v>100</v>
      </c>
      <c r="T14" s="1554" t="s">
        <v>8</v>
      </c>
      <c r="U14" s="1555">
        <f t="shared" si="1"/>
        <v>100</v>
      </c>
      <c r="V14" s="1554" t="s">
        <v>8</v>
      </c>
      <c r="W14" s="1555">
        <f t="shared" si="2"/>
        <v>100</v>
      </c>
      <c r="X14" s="1556"/>
      <c r="Y14" s="3398"/>
      <c r="Z14" s="1145">
        <f t="shared" si="7"/>
        <v>111</v>
      </c>
      <c r="AA14" s="1557">
        <f t="shared" si="3"/>
        <v>1</v>
      </c>
      <c r="AB14" s="1557">
        <f t="shared" si="4"/>
        <v>1</v>
      </c>
      <c r="AC14" s="1557">
        <f t="shared" si="5"/>
        <v>1</v>
      </c>
    </row>
    <row r="15" spans="1:29" ht="57">
      <c r="A15" s="2864" t="s">
        <v>2747</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510" t="s">
        <v>539</v>
      </c>
      <c r="Q15" s="1558" t="str">
        <f t="shared" si="6"/>
        <v>产业集聚程度</v>
      </c>
      <c r="R15" s="1559" t="s">
        <v>8</v>
      </c>
      <c r="S15" s="1560">
        <f t="shared" si="0"/>
        <v>100</v>
      </c>
      <c r="T15" s="1559" t="s">
        <v>8</v>
      </c>
      <c r="U15" s="1560">
        <f t="shared" si="1"/>
        <v>100</v>
      </c>
      <c r="V15" s="1559" t="s">
        <v>8</v>
      </c>
      <c r="W15" s="1560">
        <f t="shared" si="2"/>
        <v>100</v>
      </c>
      <c r="X15" s="1553"/>
      <c r="Y15" s="3510"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511"/>
      <c r="Q16" s="1558"/>
      <c r="R16" s="1559"/>
      <c r="S16" s="1560"/>
      <c r="T16" s="1559"/>
      <c r="U16" s="1560"/>
      <c r="V16" s="1559"/>
      <c r="W16" s="1560"/>
      <c r="X16" s="1553"/>
      <c r="Y16" s="3511"/>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511"/>
      <c r="Q17" s="1558" t="str">
        <f>B17</f>
        <v>交通便捷度</v>
      </c>
      <c r="R17" s="1559" t="s">
        <v>8</v>
      </c>
      <c r="S17" s="1560">
        <f>F17</f>
        <v>100</v>
      </c>
      <c r="T17" s="1559" t="s">
        <v>8</v>
      </c>
      <c r="U17" s="1560">
        <f>H17</f>
        <v>100</v>
      </c>
      <c r="V17" s="1559" t="s">
        <v>8</v>
      </c>
      <c r="W17" s="1560">
        <f>J17</f>
        <v>100</v>
      </c>
      <c r="X17" s="1553"/>
      <c r="Y17" s="351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511"/>
      <c r="Q18" s="1558"/>
      <c r="R18" s="1559"/>
      <c r="S18" s="1560"/>
      <c r="T18" s="1559"/>
      <c r="U18" s="1560"/>
      <c r="V18" s="1559"/>
      <c r="W18" s="1560"/>
      <c r="X18" s="1553"/>
      <c r="Y18" s="3511"/>
      <c r="Z18" s="1561"/>
      <c r="AA18" s="1562">
        <v>1</v>
      </c>
      <c r="AB18" s="1562">
        <v>1</v>
      </c>
      <c r="AC18" s="1562">
        <v>1</v>
      </c>
    </row>
    <row r="19" spans="1:29" ht="42.75">
      <c r="A19" s="532"/>
      <c r="B19" s="2567" t="s">
        <v>2539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511"/>
      <c r="Q19" s="1558" t="str">
        <f>B19</f>
        <v>公共配套设施</v>
      </c>
      <c r="R19" s="1559" t="s">
        <v>8</v>
      </c>
      <c r="S19" s="1560">
        <f>F19</f>
        <v>100</v>
      </c>
      <c r="T19" s="1559" t="s">
        <v>8</v>
      </c>
      <c r="U19" s="1560">
        <f>H19</f>
        <v>100</v>
      </c>
      <c r="V19" s="1559" t="s">
        <v>8</v>
      </c>
      <c r="W19" s="1560">
        <f>J19</f>
        <v>100</v>
      </c>
      <c r="X19" s="1553"/>
      <c r="Y19" s="351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511"/>
      <c r="Q20" s="1558"/>
      <c r="R20" s="1559"/>
      <c r="S20" s="1560"/>
      <c r="T20" s="1559"/>
      <c r="U20" s="1560"/>
      <c r="V20" s="1559"/>
      <c r="W20" s="1560"/>
      <c r="X20" s="1553"/>
      <c r="Y20" s="3511"/>
      <c r="Z20" s="1561"/>
      <c r="AA20" s="1562">
        <v>1</v>
      </c>
      <c r="AB20" s="1562">
        <v>1</v>
      </c>
      <c r="AC20" s="1562">
        <v>1</v>
      </c>
    </row>
    <row r="21" spans="1:29" ht="28.5">
      <c r="A21" s="532"/>
      <c r="B21" s="2555" t="s">
        <v>2551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511"/>
      <c r="Q21" s="2543" t="str">
        <f>B21</f>
        <v>基础设施水平</v>
      </c>
      <c r="R21" s="1559" t="s">
        <v>8</v>
      </c>
      <c r="S21" s="1560">
        <f>F21</f>
        <v>100</v>
      </c>
      <c r="T21" s="1559" t="s">
        <v>8</v>
      </c>
      <c r="U21" s="1560">
        <f>H21</f>
        <v>100</v>
      </c>
      <c r="V21" s="1559" t="s">
        <v>8</v>
      </c>
      <c r="W21" s="1560">
        <f>J21</f>
        <v>100</v>
      </c>
      <c r="X21" s="2545"/>
      <c r="Y21" s="3511"/>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511"/>
      <c r="Q22" s="2543"/>
      <c r="R22" s="1559"/>
      <c r="S22" s="1560"/>
      <c r="T22" s="1559"/>
      <c r="U22" s="1560"/>
      <c r="V22" s="1559"/>
      <c r="W22" s="1560"/>
      <c r="X22" s="2545"/>
      <c r="Y22" s="3511"/>
      <c r="Z22" s="2544"/>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511"/>
      <c r="Q23" s="1558" t="str">
        <f>B23</f>
        <v>环境质量</v>
      </c>
      <c r="R23" s="1559" t="s">
        <v>8</v>
      </c>
      <c r="S23" s="1560">
        <f>F23</f>
        <v>100</v>
      </c>
      <c r="T23" s="1559" t="s">
        <v>8</v>
      </c>
      <c r="U23" s="1560">
        <f>H23</f>
        <v>100</v>
      </c>
      <c r="V23" s="1559" t="s">
        <v>8</v>
      </c>
      <c r="W23" s="1560">
        <f>J23</f>
        <v>100</v>
      </c>
      <c r="X23" s="1553"/>
      <c r="Y23" s="3511"/>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511"/>
      <c r="Q24" s="1558"/>
      <c r="R24" s="1559"/>
      <c r="S24" s="1560"/>
      <c r="T24" s="1559"/>
      <c r="U24" s="1560"/>
      <c r="V24" s="1559"/>
      <c r="W24" s="1560"/>
      <c r="X24" s="1553"/>
      <c r="Y24" s="351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511"/>
      <c r="Q25" s="1558">
        <f>B25</f>
        <v>111</v>
      </c>
      <c r="R25" s="1559" t="s">
        <v>8</v>
      </c>
      <c r="S25" s="1560">
        <f>F25</f>
        <v>100</v>
      </c>
      <c r="T25" s="1559" t="s">
        <v>8</v>
      </c>
      <c r="U25" s="1560">
        <f>H25</f>
        <v>100</v>
      </c>
      <c r="V25" s="1559" t="s">
        <v>8</v>
      </c>
      <c r="W25" s="1560">
        <f>J25</f>
        <v>100</v>
      </c>
      <c r="X25" s="1553"/>
      <c r="Y25" s="351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511"/>
      <c r="Q26" s="1558">
        <f t="shared" ref="Q26:Q40" si="11">B26</f>
        <v>111</v>
      </c>
      <c r="R26" s="1559" t="s">
        <v>8</v>
      </c>
      <c r="S26" s="1560">
        <f>F26</f>
        <v>100</v>
      </c>
      <c r="T26" s="1559" t="s">
        <v>8</v>
      </c>
      <c r="U26" s="1560">
        <f>H26</f>
        <v>100</v>
      </c>
      <c r="V26" s="1559" t="s">
        <v>8</v>
      </c>
      <c r="W26" s="1560">
        <f>J26</f>
        <v>100</v>
      </c>
      <c r="X26" s="1553"/>
      <c r="Y26" s="351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511"/>
      <c r="Q27" s="1146">
        <f t="shared" si="11"/>
        <v>111</v>
      </c>
      <c r="R27" s="1554" t="s">
        <v>8</v>
      </c>
      <c r="S27" s="1555">
        <f>F27</f>
        <v>100</v>
      </c>
      <c r="T27" s="1554" t="s">
        <v>8</v>
      </c>
      <c r="U27" s="1555">
        <f>H27</f>
        <v>100</v>
      </c>
      <c r="V27" s="1554" t="s">
        <v>8</v>
      </c>
      <c r="W27" s="1555">
        <f>J27</f>
        <v>100</v>
      </c>
      <c r="X27" s="1556"/>
      <c r="Y27" s="3511"/>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511"/>
      <c r="Q28" s="1558">
        <f t="shared" si="11"/>
        <v>111</v>
      </c>
      <c r="R28" s="1559" t="s">
        <v>8</v>
      </c>
      <c r="S28" s="1560">
        <f t="shared" ref="S28:S40" si="12">F28</f>
        <v>100</v>
      </c>
      <c r="T28" s="1559" t="s">
        <v>8</v>
      </c>
      <c r="U28" s="1560">
        <f t="shared" ref="U28:U40" si="13">H28</f>
        <v>100</v>
      </c>
      <c r="V28" s="1559" t="s">
        <v>8</v>
      </c>
      <c r="W28" s="1560">
        <f t="shared" ref="W28:W40" si="14">J28</f>
        <v>100</v>
      </c>
      <c r="X28" s="1553"/>
      <c r="Y28" s="3511"/>
      <c r="Z28" s="1561">
        <f t="shared" ref="Z28:Z40" si="15">Q28</f>
        <v>111</v>
      </c>
      <c r="AA28" s="1562">
        <f t="shared" si="3"/>
        <v>1</v>
      </c>
      <c r="AB28" s="1562">
        <f t="shared" si="4"/>
        <v>1</v>
      </c>
      <c r="AC28" s="1562">
        <f t="shared" si="5"/>
        <v>1</v>
      </c>
    </row>
    <row r="29" spans="1:29" ht="15">
      <c r="A29" s="2862" t="s">
        <v>2748</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512" t="s">
        <v>549</v>
      </c>
      <c r="Q29" s="1558" t="str">
        <f t="shared" si="11"/>
        <v>建筑类型</v>
      </c>
      <c r="R29" s="1559" t="s">
        <v>8</v>
      </c>
      <c r="S29" s="1560">
        <f t="shared" si="12"/>
        <v>100</v>
      </c>
      <c r="T29" s="1559" t="s">
        <v>8</v>
      </c>
      <c r="U29" s="1560">
        <f t="shared" si="13"/>
        <v>100</v>
      </c>
      <c r="V29" s="1559" t="s">
        <v>8</v>
      </c>
      <c r="W29" s="1560">
        <f t="shared" si="14"/>
        <v>100</v>
      </c>
      <c r="X29" s="1553"/>
      <c r="Y29" s="3513"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513"/>
      <c r="Q30" s="1590" t="str">
        <f t="shared" si="11"/>
        <v>项目建筑规模</v>
      </c>
      <c r="R30" s="1563" t="s">
        <v>8</v>
      </c>
      <c r="S30" s="1564" t="e">
        <f t="shared" si="12"/>
        <v>#N/A</v>
      </c>
      <c r="T30" s="1563" t="s">
        <v>8</v>
      </c>
      <c r="U30" s="1564" t="e">
        <f t="shared" si="13"/>
        <v>#N/A</v>
      </c>
      <c r="V30" s="1563" t="s">
        <v>8</v>
      </c>
      <c r="W30" s="1564" t="e">
        <f t="shared" si="14"/>
        <v>#N/A</v>
      </c>
      <c r="X30" s="1565"/>
      <c r="Y30" s="3513"/>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513"/>
      <c r="Q31" s="1558" t="str">
        <f t="shared" si="11"/>
        <v>建筑结构</v>
      </c>
      <c r="R31" s="1559" t="s">
        <v>8</v>
      </c>
      <c r="S31" s="1560">
        <f t="shared" si="12"/>
        <v>100</v>
      </c>
      <c r="T31" s="1559" t="s">
        <v>8</v>
      </c>
      <c r="U31" s="1560">
        <f t="shared" si="13"/>
        <v>100</v>
      </c>
      <c r="V31" s="1559" t="s">
        <v>8</v>
      </c>
      <c r="W31" s="1560">
        <f t="shared" si="14"/>
        <v>100</v>
      </c>
      <c r="X31" s="1553"/>
      <c r="Y31" s="3513"/>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513"/>
      <c r="Q32" s="1558" t="str">
        <f t="shared" si="11"/>
        <v>公共部分装修</v>
      </c>
      <c r="R32" s="1559" t="s">
        <v>8</v>
      </c>
      <c r="S32" s="1560">
        <f t="shared" si="12"/>
        <v>100</v>
      </c>
      <c r="T32" s="1559" t="s">
        <v>8</v>
      </c>
      <c r="U32" s="1560">
        <f t="shared" si="13"/>
        <v>100</v>
      </c>
      <c r="V32" s="1559" t="s">
        <v>8</v>
      </c>
      <c r="W32" s="1560">
        <f t="shared" si="14"/>
        <v>100</v>
      </c>
      <c r="X32" s="1553"/>
      <c r="Y32" s="3513"/>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513"/>
      <c r="Q33" s="1558" t="str">
        <f t="shared" si="11"/>
        <v>成新度</v>
      </c>
      <c r="R33" s="1559" t="s">
        <v>8</v>
      </c>
      <c r="S33" s="1560" t="e">
        <f t="shared" si="12"/>
        <v>#N/A</v>
      </c>
      <c r="T33" s="1559" t="s">
        <v>8</v>
      </c>
      <c r="U33" s="1560" t="e">
        <f t="shared" si="13"/>
        <v>#N/A</v>
      </c>
      <c r="V33" s="1559" t="s">
        <v>8</v>
      </c>
      <c r="W33" s="1560" t="e">
        <f t="shared" si="14"/>
        <v>#N/A</v>
      </c>
      <c r="X33" s="1553"/>
      <c r="Y33" s="3513"/>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513"/>
      <c r="Q34" s="1146" t="str">
        <f t="shared" si="11"/>
        <v>物业管理</v>
      </c>
      <c r="R34" s="1554" t="s">
        <v>8</v>
      </c>
      <c r="S34" s="1555">
        <f t="shared" si="12"/>
        <v>100</v>
      </c>
      <c r="T34" s="1554" t="s">
        <v>8</v>
      </c>
      <c r="U34" s="1555">
        <f t="shared" si="13"/>
        <v>100</v>
      </c>
      <c r="V34" s="1554" t="s">
        <v>8</v>
      </c>
      <c r="W34" s="1555">
        <f t="shared" si="14"/>
        <v>100</v>
      </c>
      <c r="X34" s="1556"/>
      <c r="Y34" s="3513"/>
      <c r="Z34" s="1145" t="str">
        <f t="shared" si="15"/>
        <v>物业管理</v>
      </c>
      <c r="AA34" s="1557">
        <f t="shared" si="3"/>
        <v>1</v>
      </c>
      <c r="AB34" s="1557">
        <f t="shared" si="4"/>
        <v>1</v>
      </c>
      <c r="AC34" s="1557">
        <f t="shared" si="5"/>
        <v>1</v>
      </c>
    </row>
    <row r="35" spans="1:29" ht="15">
      <c r="A35" s="594"/>
      <c r="B35" s="1880" t="s">
        <v>2558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513" t="s">
        <v>549</v>
      </c>
      <c r="Q35" s="1558" t="str">
        <f t="shared" si="11"/>
        <v>市政基础设施</v>
      </c>
      <c r="R35" s="1559" t="s">
        <v>8</v>
      </c>
      <c r="S35" s="1560">
        <f t="shared" si="12"/>
        <v>100</v>
      </c>
      <c r="T35" s="1559" t="s">
        <v>8</v>
      </c>
      <c r="U35" s="1560">
        <f t="shared" si="13"/>
        <v>100</v>
      </c>
      <c r="V35" s="1559" t="s">
        <v>8</v>
      </c>
      <c r="W35" s="1560">
        <f t="shared" si="14"/>
        <v>100</v>
      </c>
      <c r="X35" s="1553"/>
      <c r="Y35" s="3513"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513"/>
      <c r="Q36" s="1558" t="str">
        <f t="shared" si="11"/>
        <v>内部装修</v>
      </c>
      <c r="R36" s="1559" t="s">
        <v>8</v>
      </c>
      <c r="S36" s="1560">
        <f t="shared" si="12"/>
        <v>100</v>
      </c>
      <c r="T36" s="1559" t="s">
        <v>8</v>
      </c>
      <c r="U36" s="1560">
        <f t="shared" si="13"/>
        <v>100</v>
      </c>
      <c r="V36" s="1559" t="s">
        <v>8</v>
      </c>
      <c r="W36" s="1560">
        <f t="shared" si="14"/>
        <v>100</v>
      </c>
      <c r="X36" s="1553"/>
      <c r="Y36" s="3513"/>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513"/>
      <c r="Q37" s="1558" t="str">
        <f t="shared" si="11"/>
        <v>内部装修状况</v>
      </c>
      <c r="R37" s="1559" t="s">
        <v>8</v>
      </c>
      <c r="S37" s="1560">
        <f t="shared" si="12"/>
        <v>100</v>
      </c>
      <c r="T37" s="1559" t="s">
        <v>8</v>
      </c>
      <c r="U37" s="1560">
        <f t="shared" si="13"/>
        <v>100</v>
      </c>
      <c r="V37" s="1559" t="s">
        <v>8</v>
      </c>
      <c r="W37" s="1560">
        <f t="shared" si="14"/>
        <v>100</v>
      </c>
      <c r="X37" s="1553"/>
      <c r="Y37" s="3513"/>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513"/>
      <c r="Q38" s="1590">
        <f t="shared" si="11"/>
        <v>111</v>
      </c>
      <c r="R38" s="1563" t="s">
        <v>8</v>
      </c>
      <c r="S38" s="1564">
        <f t="shared" si="12"/>
        <v>100</v>
      </c>
      <c r="T38" s="1563" t="s">
        <v>8</v>
      </c>
      <c r="U38" s="1564">
        <f t="shared" si="13"/>
        <v>100</v>
      </c>
      <c r="V38" s="1563" t="s">
        <v>8</v>
      </c>
      <c r="W38" s="1564">
        <f t="shared" si="14"/>
        <v>100</v>
      </c>
      <c r="X38" s="1565"/>
      <c r="Y38" s="3513"/>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513"/>
      <c r="Q39" s="1558">
        <f t="shared" si="11"/>
        <v>111</v>
      </c>
      <c r="R39" s="1559" t="s">
        <v>8</v>
      </c>
      <c r="S39" s="1560">
        <f t="shared" si="12"/>
        <v>100</v>
      </c>
      <c r="T39" s="1559" t="s">
        <v>8</v>
      </c>
      <c r="U39" s="1560">
        <f t="shared" si="13"/>
        <v>100</v>
      </c>
      <c r="V39" s="1559" t="s">
        <v>8</v>
      </c>
      <c r="W39" s="1560">
        <f t="shared" si="14"/>
        <v>100</v>
      </c>
      <c r="X39" s="1553"/>
      <c r="Y39" s="3513"/>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71"/>
      <c r="Q40" s="1558">
        <f t="shared" si="11"/>
        <v>111</v>
      </c>
      <c r="R40" s="1559" t="s">
        <v>8</v>
      </c>
      <c r="S40" s="1560">
        <f t="shared" si="12"/>
        <v>100</v>
      </c>
      <c r="T40" s="1559" t="s">
        <v>8</v>
      </c>
      <c r="U40" s="1560">
        <f t="shared" si="13"/>
        <v>100</v>
      </c>
      <c r="V40" s="1559" t="s">
        <v>8</v>
      </c>
      <c r="W40" s="1560">
        <f t="shared" si="14"/>
        <v>100</v>
      </c>
      <c r="X40" s="1553"/>
      <c r="Y40" s="3571"/>
      <c r="Z40" s="1561">
        <f t="shared" si="15"/>
        <v>111</v>
      </c>
      <c r="AA40" s="1562">
        <f t="shared" si="3"/>
        <v>1</v>
      </c>
      <c r="AB40" s="1562">
        <f t="shared" si="4"/>
        <v>1</v>
      </c>
      <c r="AC40" s="1562">
        <f t="shared" si="5"/>
        <v>1</v>
      </c>
    </row>
    <row r="41" spans="1:29" ht="15">
      <c r="A41" s="607" t="s">
        <v>735</v>
      </c>
      <c r="B41" s="886"/>
      <c r="C41" s="2591" t="s">
        <v>1</v>
      </c>
      <c r="D41" s="2592"/>
      <c r="E41" s="2593"/>
      <c r="F41" s="2594"/>
      <c r="G41" s="2595"/>
      <c r="H41" s="2596"/>
      <c r="I41" s="2593"/>
      <c r="J41" s="2596"/>
      <c r="K41" s="1596"/>
      <c r="L41" s="2129"/>
      <c r="M41" s="2130"/>
      <c r="N41" s="2119"/>
      <c r="O41" s="2130"/>
      <c r="P41" s="3476" t="str">
        <f>A41</f>
        <v>成交单价（元/平方米）</v>
      </c>
      <c r="Q41" s="3476"/>
      <c r="R41" s="3570">
        <f>E41</f>
        <v>0</v>
      </c>
      <c r="S41" s="3570"/>
      <c r="T41" s="3570">
        <f>G41</f>
        <v>0</v>
      </c>
      <c r="U41" s="3570"/>
      <c r="V41" s="3570">
        <f>I41</f>
        <v>0</v>
      </c>
      <c r="W41" s="3570"/>
      <c r="X41" s="1545"/>
      <c r="Y41" s="1567"/>
      <c r="Z41" s="1545"/>
      <c r="AA41" s="1545"/>
      <c r="AB41" s="1545"/>
      <c r="AC41" s="1545"/>
    </row>
    <row r="42" spans="1:29" ht="15.75" thickBot="1">
      <c r="A42" s="615" t="s">
        <v>2753</v>
      </c>
      <c r="B42" s="887"/>
      <c r="C42" s="2597" t="e">
        <f>R43</f>
        <v>#DIV/0!</v>
      </c>
      <c r="D42" s="2598"/>
      <c r="E42" s="2599" t="e">
        <f>R42</f>
        <v>#DIV/0!</v>
      </c>
      <c r="F42" s="2599"/>
      <c r="G42" s="2597" t="e">
        <f>T42</f>
        <v>#DIV/0!</v>
      </c>
      <c r="H42" s="2598"/>
      <c r="I42" s="2599" t="e">
        <f>V42</f>
        <v>#DIV/0!</v>
      </c>
      <c r="J42" s="2598"/>
      <c r="K42" s="1597"/>
      <c r="L42" s="2129"/>
      <c r="M42" s="2130"/>
      <c r="N42" s="2119"/>
      <c r="O42" s="2130"/>
      <c r="P42" s="3476" t="str">
        <f>A42</f>
        <v>比较价格（元/平方米）</v>
      </c>
      <c r="Q42" s="3476"/>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545"/>
      <c r="Y42" s="1545"/>
      <c r="Z42" s="1545"/>
      <c r="AA42" s="1545"/>
      <c r="AB42" s="1545"/>
      <c r="AC42" s="1545"/>
    </row>
    <row r="43" spans="1:29" ht="15.75" thickBot="1">
      <c r="A43" s="621" t="s">
        <v>2922</v>
      </c>
      <c r="B43" s="622"/>
      <c r="C43" s="2600" t="e">
        <f>R43</f>
        <v>#DIV/0!</v>
      </c>
      <c r="D43" s="2600"/>
      <c r="E43" s="2600"/>
      <c r="F43" s="2600"/>
      <c r="G43" s="2600"/>
      <c r="H43" s="2600"/>
      <c r="I43" s="2600"/>
      <c r="J43" s="2600"/>
      <c r="K43" s="1598"/>
      <c r="L43" s="2129"/>
      <c r="M43" s="2130"/>
      <c r="N43" s="2130"/>
      <c r="O43" s="2130"/>
      <c r="P43" s="3473" t="str">
        <f>A43</f>
        <v>估价对象XX用房的比较价格（楼面单价，元/平方米）</v>
      </c>
      <c r="Q43" s="3474"/>
      <c r="R43" s="3569" t="e">
        <f>IF(F1="售价",ROUND(AVERAGE(R42:V42),0),ROUND(AVERAGE(R42:V42),1))</f>
        <v>#DIV/0!</v>
      </c>
      <c r="S43" s="3569"/>
      <c r="T43" s="3569"/>
      <c r="U43" s="3569"/>
      <c r="V43" s="3569"/>
      <c r="W43" s="3569"/>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528</v>
      </c>
      <c r="B52" s="646"/>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2550</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2551</v>
      </c>
      <c r="C76" s="2562" t="s">
        <v>2552</v>
      </c>
      <c r="D76" s="2562" t="s">
        <v>2553</v>
      </c>
      <c r="E76" s="2562" t="s">
        <v>2554</v>
      </c>
      <c r="F76" s="2562" t="s">
        <v>2555</v>
      </c>
      <c r="G76" s="2562" t="s">
        <v>2556</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2549</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t="s">
        <v>922</v>
      </c>
      <c r="C1" s="504" t="s">
        <v>791</v>
      </c>
      <c r="D1" s="849" t="s">
        <v>35</v>
      </c>
      <c r="E1" s="506"/>
      <c r="F1" s="2762" t="s">
        <v>3463</v>
      </c>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f>IF(B37="元/平方米",ROUND(B3*D3/10000,0),ROUND(F3*C39/10000,0))</f>
        <v>14107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f>IF(B37="元/平方米",C39,ROUND(B2*10000/D3,0))</f>
        <v>23434</v>
      </c>
      <c r="C3" s="852" t="s">
        <v>795</v>
      </c>
      <c r="D3" s="851">
        <f>SUMIF('数据-汇总表'!$C19:$C33,D1,'数据-汇总表'!$E19:$E33)</f>
        <v>6020</v>
      </c>
      <c r="E3" s="1833" t="s">
        <v>2072</v>
      </c>
      <c r="F3" s="851">
        <f>SUMIF('数据-取费表'!A5:A15,D1,'数据-取费表'!AH5:AH15)</f>
        <v>670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82" t="s">
        <v>797</v>
      </c>
      <c r="D4" s="3483"/>
      <c r="E4" s="3482" t="s">
        <v>798</v>
      </c>
      <c r="F4" s="3483"/>
      <c r="G4" s="3482" t="s">
        <v>799</v>
      </c>
      <c r="H4" s="3483"/>
      <c r="I4" s="3482" t="s">
        <v>800</v>
      </c>
      <c r="J4" s="3483"/>
      <c r="K4" s="514" t="s">
        <v>801</v>
      </c>
      <c r="L4" s="2118"/>
      <c r="M4" s="2119"/>
      <c r="N4" s="2119"/>
      <c r="O4" s="2119"/>
      <c r="P4" s="3484" t="s">
        <v>802</v>
      </c>
      <c r="Q4" s="3485"/>
      <c r="R4" s="3490" t="s">
        <v>798</v>
      </c>
      <c r="S4" s="3491"/>
      <c r="T4" s="3490" t="s">
        <v>799</v>
      </c>
      <c r="U4" s="3491"/>
      <c r="V4" s="3477" t="s">
        <v>800</v>
      </c>
      <c r="W4" s="3477"/>
      <c r="X4" s="1553"/>
      <c r="Y4" s="3490" t="s">
        <v>802</v>
      </c>
      <c r="Z4" s="3491"/>
      <c r="AA4" s="3479" t="s">
        <v>798</v>
      </c>
      <c r="AB4" s="3480" t="s">
        <v>799</v>
      </c>
      <c r="AC4" s="3479" t="s">
        <v>800</v>
      </c>
    </row>
    <row r="5" spans="1:29" ht="15">
      <c r="A5" s="515"/>
      <c r="B5" s="516"/>
      <c r="C5" s="3498" t="s">
        <v>2916</v>
      </c>
      <c r="D5" s="3499"/>
      <c r="E5" s="3572" t="s">
        <v>3457</v>
      </c>
      <c r="F5" s="3499"/>
      <c r="G5" s="3572" t="s">
        <v>3458</v>
      </c>
      <c r="H5" s="3499"/>
      <c r="I5" s="3572" t="s">
        <v>3459</v>
      </c>
      <c r="J5" s="3499"/>
      <c r="K5" s="51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00" t="s">
        <v>2920</v>
      </c>
      <c r="F6" s="3501"/>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v>43617</v>
      </c>
      <c r="F7" s="522">
        <f>SUMIF(48:48,YEAR(E7)&amp;"-"&amp;MONTH(E7),49:49)</f>
        <v>100</v>
      </c>
      <c r="G7" s="521">
        <v>43617</v>
      </c>
      <c r="H7" s="520">
        <f>SUMIF(48:48,YEAR(G7)&amp;"-"&amp;MONTH(G7),49:49)</f>
        <v>100</v>
      </c>
      <c r="I7" s="521">
        <v>43617</v>
      </c>
      <c r="J7" s="520">
        <f>SUMIF(48:48,YEAR(I7)&amp;"-"&amp;MONTH(I7),49:49)</f>
        <v>100</v>
      </c>
      <c r="K7" s="524"/>
      <c r="L7" s="2120"/>
      <c r="M7" s="2121"/>
      <c r="N7" s="2121"/>
      <c r="O7" s="2121"/>
      <c r="P7" s="3507" t="s">
        <v>529</v>
      </c>
      <c r="Q7" s="3509"/>
      <c r="R7" s="1554" t="s">
        <v>8</v>
      </c>
      <c r="S7" s="1555">
        <f t="shared" ref="S7:S14" si="0">F7</f>
        <v>100</v>
      </c>
      <c r="T7" s="1554" t="s">
        <v>8</v>
      </c>
      <c r="U7" s="1555">
        <f t="shared" ref="U7:U14" si="1">H7</f>
        <v>100</v>
      </c>
      <c r="V7" s="1554" t="s">
        <v>8</v>
      </c>
      <c r="W7" s="1555">
        <f t="shared" ref="W7:W14" si="2">J7</f>
        <v>100</v>
      </c>
      <c r="X7" s="1556"/>
      <c r="Y7" s="3507" t="s">
        <v>529</v>
      </c>
      <c r="Z7" s="3508"/>
      <c r="AA7" s="1557">
        <f>D7/F7</f>
        <v>1</v>
      </c>
      <c r="AB7" s="1557">
        <f>D7/H7</f>
        <v>1</v>
      </c>
      <c r="AC7" s="1557">
        <f>D7/J7</f>
        <v>1</v>
      </c>
    </row>
    <row r="8" spans="1:29" s="1215" customFormat="1" ht="15.75" thickBot="1">
      <c r="A8" s="2867"/>
      <c r="B8" s="2874" t="s">
        <v>530</v>
      </c>
      <c r="C8" s="525" t="s">
        <v>575</v>
      </c>
      <c r="D8" s="520">
        <v>100</v>
      </c>
      <c r="E8" s="525" t="s">
        <v>575</v>
      </c>
      <c r="F8" s="522">
        <f>SUMIF(51:51,E8,52:52)-SUMIF(51:51,C8,52:52)+100</f>
        <v>100</v>
      </c>
      <c r="G8" s="525" t="s">
        <v>575</v>
      </c>
      <c r="H8" s="520">
        <f>SUMIF(51:51,G8,52:52)-SUMIF(51:51,C8,52:52)+100</f>
        <v>100</v>
      </c>
      <c r="I8" s="525" t="s">
        <v>575</v>
      </c>
      <c r="J8" s="520">
        <f>SUMIF(51:51,I8,52:52)-SUMIF(51:51,C8,52:52)+100</f>
        <v>100</v>
      </c>
      <c r="K8" s="524"/>
      <c r="L8" s="2120"/>
      <c r="M8" s="2121"/>
      <c r="N8" s="2121"/>
      <c r="O8" s="2121"/>
      <c r="P8" s="3507" t="s">
        <v>532</v>
      </c>
      <c r="Q8" s="3508"/>
      <c r="R8" s="1554" t="s">
        <v>8</v>
      </c>
      <c r="S8" s="1555">
        <f t="shared" si="0"/>
        <v>100</v>
      </c>
      <c r="T8" s="1554" t="s">
        <v>8</v>
      </c>
      <c r="U8" s="1555">
        <f t="shared" si="1"/>
        <v>100</v>
      </c>
      <c r="V8" s="1554" t="s">
        <v>8</v>
      </c>
      <c r="W8" s="1555">
        <f t="shared" si="2"/>
        <v>100</v>
      </c>
      <c r="X8" s="1556"/>
      <c r="Y8" s="3507" t="s">
        <v>532</v>
      </c>
      <c r="Z8" s="3508"/>
      <c r="AA8" s="1557">
        <f t="shared" ref="AA8:AA36" si="3">D8/F8</f>
        <v>1</v>
      </c>
      <c r="AB8" s="1557">
        <f t="shared" ref="AB8:AB36" si="4">D8/H8</f>
        <v>1</v>
      </c>
      <c r="AC8" s="1557">
        <f t="shared" ref="AC8:AC36" si="5">D8/J8</f>
        <v>1</v>
      </c>
    </row>
    <row r="9" spans="1:29" s="1215" customFormat="1" ht="15">
      <c r="A9" s="2868"/>
      <c r="B9" s="2875" t="s">
        <v>2749</v>
      </c>
      <c r="C9" s="3192" t="s">
        <v>3461</v>
      </c>
      <c r="D9" s="254">
        <v>100</v>
      </c>
      <c r="E9" s="860" t="s">
        <v>3460</v>
      </c>
      <c r="F9" s="254">
        <f>SUMIF(53:53,E9,54:54)-SUMIF(53:53,C9,54:54)+100</f>
        <v>100</v>
      </c>
      <c r="G9" s="860" t="s">
        <v>3460</v>
      </c>
      <c r="H9" s="254">
        <f>SUMIF(53:53,G9,54:54)-SUMIF(53:53,C9,54:54)+100</f>
        <v>100</v>
      </c>
      <c r="I9" s="860" t="s">
        <v>3460</v>
      </c>
      <c r="J9" s="254">
        <f>SUMIF(53:53,I9,54:54)-SUMIF(53:53,C9,54:54)+100</f>
        <v>100</v>
      </c>
      <c r="K9" s="524"/>
      <c r="L9" s="2120"/>
      <c r="M9" s="2121"/>
      <c r="N9" s="2121"/>
      <c r="O9" s="2122"/>
      <c r="P9" s="3476" t="s">
        <v>534</v>
      </c>
      <c r="Q9" s="1146" t="str">
        <f t="shared" ref="Q9:Q14" si="6">B9</f>
        <v>用途</v>
      </c>
      <c r="R9" s="1554" t="s">
        <v>8</v>
      </c>
      <c r="S9" s="1555">
        <f t="shared" si="0"/>
        <v>100</v>
      </c>
      <c r="T9" s="1554" t="s">
        <v>8</v>
      </c>
      <c r="U9" s="1555">
        <f t="shared" si="1"/>
        <v>100</v>
      </c>
      <c r="V9" s="1554" t="s">
        <v>8</v>
      </c>
      <c r="W9" s="1555">
        <f t="shared" si="2"/>
        <v>100</v>
      </c>
      <c r="X9" s="1556"/>
      <c r="Y9" s="3398" t="s">
        <v>535</v>
      </c>
      <c r="Z9" s="1145" t="str">
        <f t="shared" ref="Z9:Z14" si="7">Q9</f>
        <v>用途</v>
      </c>
      <c r="AA9" s="1557">
        <f t="shared" si="3"/>
        <v>1</v>
      </c>
      <c r="AB9" s="1557">
        <f t="shared" si="4"/>
        <v>1</v>
      </c>
      <c r="AC9" s="1557">
        <f t="shared" si="5"/>
        <v>1</v>
      </c>
    </row>
    <row r="10" spans="1:29" s="1333" customFormat="1" ht="27.75" thickBot="1">
      <c r="A10" s="2869"/>
      <c r="B10" s="2874" t="s">
        <v>2750</v>
      </c>
      <c r="C10" s="861" t="s">
        <v>3462</v>
      </c>
      <c r="D10" s="255">
        <v>100</v>
      </c>
      <c r="E10" s="861" t="s">
        <v>3462</v>
      </c>
      <c r="F10" s="255">
        <f>SUMIF(55:55,E10,56:56)-SUMIF(55:55,C10,56:56)+100</f>
        <v>100</v>
      </c>
      <c r="G10" s="861" t="s">
        <v>3462</v>
      </c>
      <c r="H10" s="255">
        <f>SUMIF(55:55,G10,56:56)-SUMIF(55:55,C10,56:56)+100</f>
        <v>100</v>
      </c>
      <c r="I10" s="861" t="s">
        <v>3462</v>
      </c>
      <c r="J10" s="255">
        <f>SUMIF(55:55,I10,56:56)-SUMIF(55:55,C10,56:56)+100</f>
        <v>100</v>
      </c>
      <c r="K10" s="584">
        <f>'不动产比较法-住宅'!K10</f>
        <v>2</v>
      </c>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hidden="1">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76"/>
      <c r="Q11" s="1146">
        <f t="shared" si="6"/>
        <v>111</v>
      </c>
      <c r="R11" s="1554" t="s">
        <v>8</v>
      </c>
      <c r="S11" s="1555">
        <f t="shared" si="0"/>
        <v>100</v>
      </c>
      <c r="T11" s="1554" t="s">
        <v>8</v>
      </c>
      <c r="U11" s="1555">
        <f t="shared" si="1"/>
        <v>100</v>
      </c>
      <c r="V11" s="1554" t="s">
        <v>8</v>
      </c>
      <c r="W11" s="1555">
        <f t="shared" si="2"/>
        <v>100</v>
      </c>
      <c r="X11" s="1556"/>
      <c r="Y11" s="3398"/>
      <c r="Z11" s="1145">
        <f t="shared" si="7"/>
        <v>111</v>
      </c>
      <c r="AA11" s="1557">
        <f t="shared" si="3"/>
        <v>1</v>
      </c>
      <c r="AB11" s="1557">
        <f t="shared" si="4"/>
        <v>1</v>
      </c>
      <c r="AC11" s="1557">
        <f t="shared" si="5"/>
        <v>1</v>
      </c>
    </row>
    <row r="12" spans="1:29" s="1215" customFormat="1" ht="15" hidden="1">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75" hidden="1"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
      <c r="A14" s="2864" t="s">
        <v>2747</v>
      </c>
      <c r="B14" s="547" t="s">
        <v>542</v>
      </c>
      <c r="C14" s="920" t="str">
        <f>IF(B1="工业",估价对象房地状况!G4,估价对象房地状况!C6)</f>
        <v>较好</v>
      </c>
      <c r="D14" s="549">
        <v>100</v>
      </c>
      <c r="E14" s="3273" t="s">
        <v>3575</v>
      </c>
      <c r="F14" s="551">
        <f>SUMIF(63:63,E15,64:64)-SUMIF(63:63,C15,64:64)+100</f>
        <v>98</v>
      </c>
      <c r="G14" s="3273" t="s">
        <v>3575</v>
      </c>
      <c r="H14" s="549">
        <f>SUMIF(63:63,G15,64:64)-SUMIF(63:63,C15,64:64)+100</f>
        <v>98</v>
      </c>
      <c r="I14" s="3273" t="s">
        <v>3575</v>
      </c>
      <c r="J14" s="549">
        <f>SUMIF(63:63,I15,64:64)-SUMIF(63:63,C15,64:64)+100</f>
        <v>98</v>
      </c>
      <c r="K14" s="897">
        <f>'不动产比较法-住宅'!K17</f>
        <v>2</v>
      </c>
      <c r="L14" s="2127"/>
      <c r="M14" s="2119"/>
      <c r="N14" s="2119"/>
      <c r="O14" s="2126"/>
      <c r="P14" s="3510" t="s">
        <v>539</v>
      </c>
      <c r="Q14" s="1558" t="str">
        <f t="shared" si="6"/>
        <v>交通便捷度</v>
      </c>
      <c r="R14" s="1559" t="s">
        <v>8</v>
      </c>
      <c r="S14" s="1560">
        <f t="shared" si="0"/>
        <v>98</v>
      </c>
      <c r="T14" s="1559" t="s">
        <v>8</v>
      </c>
      <c r="U14" s="1560">
        <f t="shared" si="1"/>
        <v>98</v>
      </c>
      <c r="V14" s="1559" t="s">
        <v>8</v>
      </c>
      <c r="W14" s="1560">
        <f t="shared" si="2"/>
        <v>98</v>
      </c>
      <c r="X14" s="1553"/>
      <c r="Y14" s="3510" t="s">
        <v>539</v>
      </c>
      <c r="Z14" s="1561" t="str">
        <f t="shared" si="7"/>
        <v>交通便捷度</v>
      </c>
      <c r="AA14" s="1562">
        <f t="shared" si="3"/>
        <v>1.0204081632653061</v>
      </c>
      <c r="AB14" s="1562">
        <f t="shared" si="4"/>
        <v>1.0204081632653061</v>
      </c>
      <c r="AC14" s="1562">
        <f t="shared" si="5"/>
        <v>1.0204081632653061</v>
      </c>
    </row>
    <row r="15" spans="1:29" ht="15">
      <c r="A15" s="515"/>
      <c r="B15" s="923"/>
      <c r="C15" s="576" t="s">
        <v>3378</v>
      </c>
      <c r="D15" s="555"/>
      <c r="E15" s="576" t="s">
        <v>3392</v>
      </c>
      <c r="F15" s="557"/>
      <c r="G15" s="576" t="s">
        <v>3392</v>
      </c>
      <c r="H15" s="559"/>
      <c r="I15" s="576" t="s">
        <v>3392</v>
      </c>
      <c r="J15" s="555"/>
      <c r="K15" s="898"/>
      <c r="L15" s="2127"/>
      <c r="M15" s="2119"/>
      <c r="N15" s="2119"/>
      <c r="O15" s="2126"/>
      <c r="P15" s="3511"/>
      <c r="Q15" s="1558"/>
      <c r="R15" s="1559"/>
      <c r="S15" s="1560"/>
      <c r="T15" s="1559"/>
      <c r="U15" s="1560"/>
      <c r="V15" s="1559"/>
      <c r="W15" s="1560"/>
      <c r="X15" s="1553"/>
      <c r="Y15" s="3511"/>
      <c r="Z15" s="1561"/>
      <c r="AA15" s="1562">
        <v>1</v>
      </c>
      <c r="AB15" s="1562">
        <v>1</v>
      </c>
      <c r="AC15" s="1562">
        <v>1</v>
      </c>
    </row>
    <row r="16" spans="1:29" ht="15">
      <c r="A16" s="515"/>
      <c r="B16" s="2567" t="s">
        <v>2539</v>
      </c>
      <c r="C16" s="872" t="str">
        <f>IF(B1="工业",估价对象房地状况!G5,估价对象房地状况!C7)</f>
        <v>一般</v>
      </c>
      <c r="D16" s="565">
        <v>100</v>
      </c>
      <c r="E16" s="3275" t="s">
        <v>3576</v>
      </c>
      <c r="F16" s="571">
        <f>SUMIF(65:65,E17,66:66)-SUMIF(65:65,C17,66:66)+100</f>
        <v>102</v>
      </c>
      <c r="G16" s="3275" t="s">
        <v>3576</v>
      </c>
      <c r="H16" s="565">
        <f>SUMIF(65:65,G17,66:66)-SUMIF(65:65,C17,66:66)+100</f>
        <v>102</v>
      </c>
      <c r="I16" s="3275" t="s">
        <v>3576</v>
      </c>
      <c r="J16" s="565">
        <f>SUMIF(65:65,I17,66:66)-SUMIF(65:65,C17,66:66)+100</f>
        <v>102</v>
      </c>
      <c r="K16" s="897">
        <f>'不动产比较法-住宅'!K19</f>
        <v>2</v>
      </c>
      <c r="L16" s="2127"/>
      <c r="M16" s="2119"/>
      <c r="N16" s="2119"/>
      <c r="O16" s="2126"/>
      <c r="P16" s="3511"/>
      <c r="Q16" s="1558" t="str">
        <f>B16</f>
        <v>公共配套设施</v>
      </c>
      <c r="R16" s="1559" t="s">
        <v>8</v>
      </c>
      <c r="S16" s="1560">
        <f>F16</f>
        <v>102</v>
      </c>
      <c r="T16" s="1559" t="s">
        <v>8</v>
      </c>
      <c r="U16" s="1560">
        <f>H16</f>
        <v>102</v>
      </c>
      <c r="V16" s="1559" t="s">
        <v>8</v>
      </c>
      <c r="W16" s="1560">
        <f>J16</f>
        <v>102</v>
      </c>
      <c r="X16" s="1553"/>
      <c r="Y16" s="3511"/>
      <c r="Z16" s="1561" t="str">
        <f>Q16</f>
        <v>公共配套设施</v>
      </c>
      <c r="AA16" s="1562">
        <f t="shared" si="3"/>
        <v>0.98039215686274506</v>
      </c>
      <c r="AB16" s="1562">
        <f t="shared" si="4"/>
        <v>0.98039215686274506</v>
      </c>
      <c r="AC16" s="1562">
        <f t="shared" si="5"/>
        <v>0.98039215686274506</v>
      </c>
    </row>
    <row r="17" spans="1:29" ht="15">
      <c r="A17" s="515"/>
      <c r="B17" s="566"/>
      <c r="C17" s="873" t="s">
        <v>3392</v>
      </c>
      <c r="D17" s="555"/>
      <c r="E17" s="576" t="s">
        <v>3378</v>
      </c>
      <c r="F17" s="557"/>
      <c r="G17" s="576" t="s">
        <v>3378</v>
      </c>
      <c r="H17" s="555"/>
      <c r="I17" s="576" t="s">
        <v>3378</v>
      </c>
      <c r="J17" s="555"/>
      <c r="K17" s="898"/>
      <c r="L17" s="2127"/>
      <c r="M17" s="2119"/>
      <c r="N17" s="2119"/>
      <c r="O17" s="2126"/>
      <c r="P17" s="3511"/>
      <c r="Q17" s="1558"/>
      <c r="R17" s="1559"/>
      <c r="S17" s="1560"/>
      <c r="T17" s="1559"/>
      <c r="U17" s="1560"/>
      <c r="V17" s="1559"/>
      <c r="W17" s="1560"/>
      <c r="X17" s="1553"/>
      <c r="Y17" s="3511"/>
      <c r="Z17" s="1561"/>
      <c r="AA17" s="1562">
        <v>1</v>
      </c>
      <c r="AB17" s="1562">
        <v>1</v>
      </c>
      <c r="AC17" s="1562">
        <v>1</v>
      </c>
    </row>
    <row r="18" spans="1:29" ht="15">
      <c r="A18" s="515"/>
      <c r="B18" s="2555" t="s">
        <v>2551</v>
      </c>
      <c r="C18" s="872" t="str">
        <f>IF(B1="工业",估价对象房地状况!G6,估价对象房地状况!C8)</f>
        <v>六通</v>
      </c>
      <c r="D18" s="559">
        <v>100</v>
      </c>
      <c r="E18" s="3275" t="s">
        <v>3577</v>
      </c>
      <c r="F18" s="571">
        <f>SUMIF(67:67,E19,68:68)-SUMIF(67:67,C19,68:68)+100</f>
        <v>100</v>
      </c>
      <c r="G18" s="3275" t="s">
        <v>3577</v>
      </c>
      <c r="H18" s="565">
        <f>SUMIF(67:67,G19,68:68)-SUMIF(67:67,C19,68:68)+100</f>
        <v>100</v>
      </c>
      <c r="I18" s="3275" t="s">
        <v>3577</v>
      </c>
      <c r="J18" s="565">
        <f>SUMIF(67:67,I19,68:68)-SUMIF(67:67,C19,68:68)+100</f>
        <v>100</v>
      </c>
      <c r="K18" s="897">
        <f>'不动产比较法-住宅'!K21</f>
        <v>1</v>
      </c>
      <c r="L18" s="2127"/>
      <c r="M18" s="2119"/>
      <c r="N18" s="2119"/>
      <c r="O18" s="2126"/>
      <c r="P18" s="3511"/>
      <c r="Q18" s="2543" t="str">
        <f>B18</f>
        <v>基础设施水平</v>
      </c>
      <c r="R18" s="1559" t="s">
        <v>8</v>
      </c>
      <c r="S18" s="1560">
        <f>F18</f>
        <v>100</v>
      </c>
      <c r="T18" s="1559" t="s">
        <v>8</v>
      </c>
      <c r="U18" s="1560">
        <f>H18</f>
        <v>100</v>
      </c>
      <c r="V18" s="1559" t="s">
        <v>8</v>
      </c>
      <c r="W18" s="1560">
        <f>J18</f>
        <v>100</v>
      </c>
      <c r="X18" s="2545"/>
      <c r="Y18" s="3511"/>
      <c r="Z18" s="2544" t="str">
        <f>Q18</f>
        <v>基础设施水平</v>
      </c>
      <c r="AA18" s="1562">
        <f t="shared" ref="AA18" si="8">D18/F18</f>
        <v>1</v>
      </c>
      <c r="AB18" s="1562">
        <f t="shared" ref="AB18" si="9">D18/H18</f>
        <v>1</v>
      </c>
      <c r="AC18" s="1562">
        <f t="shared" ref="AC18" si="10">D18/J18</f>
        <v>1</v>
      </c>
    </row>
    <row r="19" spans="1:29" ht="15">
      <c r="A19" s="515"/>
      <c r="B19" s="578"/>
      <c r="C19" s="873" t="s">
        <v>3379</v>
      </c>
      <c r="D19" s="559"/>
      <c r="E19" s="873" t="s">
        <v>3379</v>
      </c>
      <c r="F19" s="557"/>
      <c r="G19" s="873" t="s">
        <v>3379</v>
      </c>
      <c r="H19" s="555"/>
      <c r="I19" s="873" t="s">
        <v>3379</v>
      </c>
      <c r="J19" s="555"/>
      <c r="K19" s="2566"/>
      <c r="L19" s="2127"/>
      <c r="M19" s="2119"/>
      <c r="N19" s="2119"/>
      <c r="O19" s="2126"/>
      <c r="P19" s="3511"/>
      <c r="Q19" s="2543"/>
      <c r="R19" s="1559"/>
      <c r="S19" s="1560"/>
      <c r="T19" s="1559"/>
      <c r="U19" s="1560"/>
      <c r="V19" s="1559"/>
      <c r="W19" s="1560"/>
      <c r="X19" s="2545"/>
      <c r="Y19" s="3511"/>
      <c r="Z19" s="2544"/>
      <c r="AA19" s="1562">
        <v>1</v>
      </c>
      <c r="AB19" s="1562">
        <v>1</v>
      </c>
      <c r="AC19" s="1562">
        <v>1</v>
      </c>
    </row>
    <row r="20" spans="1:29" ht="15">
      <c r="A20" s="515"/>
      <c r="B20" s="560" t="s">
        <v>803</v>
      </c>
      <c r="C20" s="872" t="str">
        <f>IF(B1="工业",估价对象房地状况!G7,估价对象房地状况!C9)</f>
        <v>好</v>
      </c>
      <c r="D20" s="565">
        <v>100</v>
      </c>
      <c r="E20" s="3275" t="s">
        <v>3576</v>
      </c>
      <c r="F20" s="563">
        <f>SUMIF(69:69,E21,70:70)-SUMIF(69:69,C21,70:70)+100</f>
        <v>100</v>
      </c>
      <c r="G20" s="3275" t="s">
        <v>3576</v>
      </c>
      <c r="H20" s="559">
        <f>SUMIF(69:69,G21,70:70)-SUMIF(69:69,C21,70:70)+100</f>
        <v>100</v>
      </c>
      <c r="I20" s="3275" t="s">
        <v>3576</v>
      </c>
      <c r="J20" s="559">
        <f>SUMIF(69:69,I21,70:70)-SUMIF(69:69,C21,70:70)+100</f>
        <v>100</v>
      </c>
      <c r="K20" s="897">
        <f>'不动产比较法-住宅'!K23</f>
        <v>5</v>
      </c>
      <c r="L20" s="2127"/>
      <c r="M20" s="2119"/>
      <c r="N20" s="2119"/>
      <c r="O20" s="2126"/>
      <c r="P20" s="3511"/>
      <c r="Q20" s="1558" t="str">
        <f>B20</f>
        <v>自然及人文环境</v>
      </c>
      <c r="R20" s="1559" t="s">
        <v>8</v>
      </c>
      <c r="S20" s="1560">
        <f>F20</f>
        <v>100</v>
      </c>
      <c r="T20" s="1559" t="s">
        <v>8</v>
      </c>
      <c r="U20" s="1560">
        <f>H20</f>
        <v>100</v>
      </c>
      <c r="V20" s="1559" t="s">
        <v>8</v>
      </c>
      <c r="W20" s="1560">
        <f>J20</f>
        <v>100</v>
      </c>
      <c r="X20" s="1553"/>
      <c r="Y20" s="3511"/>
      <c r="Z20" s="1561" t="str">
        <f>Q20</f>
        <v>自然及人文环境</v>
      </c>
      <c r="AA20" s="1562">
        <f t="shared" si="3"/>
        <v>1</v>
      </c>
      <c r="AB20" s="1562">
        <f t="shared" si="4"/>
        <v>1</v>
      </c>
      <c r="AC20" s="1562">
        <f t="shared" si="5"/>
        <v>1</v>
      </c>
    </row>
    <row r="21" spans="1:29" ht="15.75" thickBot="1">
      <c r="A21" s="515"/>
      <c r="B21" s="566"/>
      <c r="C21" s="576" t="s">
        <v>3378</v>
      </c>
      <c r="D21" s="555"/>
      <c r="E21" s="576" t="s">
        <v>3378</v>
      </c>
      <c r="F21" s="557"/>
      <c r="G21" s="576" t="s">
        <v>3378</v>
      </c>
      <c r="H21" s="555"/>
      <c r="I21" s="576" t="s">
        <v>3378</v>
      </c>
      <c r="J21" s="555"/>
      <c r="K21" s="898"/>
      <c r="L21" s="2127"/>
      <c r="M21" s="2119"/>
      <c r="N21" s="2119"/>
      <c r="O21" s="2126"/>
      <c r="P21" s="3511"/>
      <c r="Q21" s="1558"/>
      <c r="R21" s="1559"/>
      <c r="S21" s="1560"/>
      <c r="T21" s="1559"/>
      <c r="U21" s="1560"/>
      <c r="V21" s="1559"/>
      <c r="W21" s="1560"/>
      <c r="X21" s="1553"/>
      <c r="Y21" s="3511"/>
      <c r="Z21" s="1561"/>
      <c r="AA21" s="1562">
        <v>1</v>
      </c>
      <c r="AB21" s="1562">
        <v>1</v>
      </c>
      <c r="AC21" s="1562">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511"/>
      <c r="Q22" s="1558" t="str">
        <f>B22</f>
        <v>楼层</v>
      </c>
      <c r="R22" s="1559" t="s">
        <v>8</v>
      </c>
      <c r="S22" s="1560">
        <f>F22</f>
        <v>100</v>
      </c>
      <c r="T22" s="1559" t="s">
        <v>8</v>
      </c>
      <c r="U22" s="1560">
        <f>H22</f>
        <v>100</v>
      </c>
      <c r="V22" s="1559" t="s">
        <v>8</v>
      </c>
      <c r="W22" s="1560">
        <f>J22</f>
        <v>100</v>
      </c>
      <c r="X22" s="1553"/>
      <c r="Y22" s="3511"/>
      <c r="Z22" s="1561" t="str">
        <f>Q22</f>
        <v>楼层</v>
      </c>
      <c r="AA22" s="1562">
        <f t="shared" si="3"/>
        <v>1</v>
      </c>
      <c r="AB22" s="1562">
        <f t="shared" si="4"/>
        <v>1</v>
      </c>
      <c r="AC22" s="1562">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511"/>
      <c r="Q23" s="1558">
        <f>B23</f>
        <v>111</v>
      </c>
      <c r="R23" s="1559" t="s">
        <v>8</v>
      </c>
      <c r="S23" s="1560">
        <f>F23</f>
        <v>100</v>
      </c>
      <c r="T23" s="1559" t="s">
        <v>8</v>
      </c>
      <c r="U23" s="1560">
        <f>H23</f>
        <v>100</v>
      </c>
      <c r="V23" s="1559" t="s">
        <v>8</v>
      </c>
      <c r="W23" s="1560">
        <f>J23</f>
        <v>100</v>
      </c>
      <c r="X23" s="1553"/>
      <c r="Y23" s="3511"/>
      <c r="Z23" s="1561">
        <f>Q23</f>
        <v>111</v>
      </c>
      <c r="AA23" s="1562">
        <f t="shared" si="3"/>
        <v>1</v>
      </c>
      <c r="AB23" s="1562">
        <f t="shared" si="4"/>
        <v>1</v>
      </c>
      <c r="AC23" s="1562">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511"/>
      <c r="Q24" s="1558">
        <f t="shared" ref="Q24:Q36" si="11">B24</f>
        <v>111</v>
      </c>
      <c r="R24" s="1559" t="s">
        <v>8</v>
      </c>
      <c r="S24" s="1560">
        <f>F24</f>
        <v>100</v>
      </c>
      <c r="T24" s="1559" t="s">
        <v>8</v>
      </c>
      <c r="U24" s="1560">
        <f>H24</f>
        <v>100</v>
      </c>
      <c r="V24" s="1559" t="s">
        <v>8</v>
      </c>
      <c r="W24" s="1560">
        <f>J24</f>
        <v>100</v>
      </c>
      <c r="X24" s="1553"/>
      <c r="Y24" s="3511"/>
      <c r="Z24" s="1561">
        <f>Q24</f>
        <v>111</v>
      </c>
      <c r="AA24" s="1562">
        <f t="shared" si="3"/>
        <v>1</v>
      </c>
      <c r="AB24" s="1562">
        <f t="shared" si="4"/>
        <v>1</v>
      </c>
      <c r="AC24" s="1562">
        <f t="shared" si="5"/>
        <v>1</v>
      </c>
    </row>
    <row r="25" spans="1:29" s="1215"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511"/>
      <c r="Q25" s="1146">
        <f t="shared" si="11"/>
        <v>111</v>
      </c>
      <c r="R25" s="1554" t="s">
        <v>8</v>
      </c>
      <c r="S25" s="1555">
        <f>F25</f>
        <v>100</v>
      </c>
      <c r="T25" s="1554" t="s">
        <v>8</v>
      </c>
      <c r="U25" s="1555">
        <f>H25</f>
        <v>100</v>
      </c>
      <c r="V25" s="1554" t="s">
        <v>8</v>
      </c>
      <c r="W25" s="1555">
        <f>J25</f>
        <v>100</v>
      </c>
      <c r="X25" s="1556"/>
      <c r="Y25" s="3511"/>
      <c r="Z25" s="1145">
        <f>Q25</f>
        <v>111</v>
      </c>
      <c r="AA25" s="1562">
        <f>D25/F25</f>
        <v>1</v>
      </c>
      <c r="AB25" s="1562">
        <f>D25/H25</f>
        <v>1</v>
      </c>
      <c r="AC25" s="1562">
        <f>D25/J25</f>
        <v>1</v>
      </c>
    </row>
    <row r="26" spans="1:29" ht="15">
      <c r="A26" s="2862" t="s">
        <v>2748</v>
      </c>
      <c r="B26" s="170" t="s">
        <v>805</v>
      </c>
      <c r="C26" s="927" t="str">
        <f>B1</f>
        <v>住宅</v>
      </c>
      <c r="D26" s="555">
        <v>100</v>
      </c>
      <c r="E26" s="3193" t="s">
        <v>3464</v>
      </c>
      <c r="F26" s="557">
        <f>SUMIF(79:79,E26,80:80)-SUMIF(79:79,C26,80:80)+100</f>
        <v>100</v>
      </c>
      <c r="G26" s="3193" t="s">
        <v>3464</v>
      </c>
      <c r="H26" s="555">
        <f>SUMIF(79:79,G26,80:80)-SUMIF(79:79,C26,80:80)+100</f>
        <v>100</v>
      </c>
      <c r="I26" s="3193" t="s">
        <v>3464</v>
      </c>
      <c r="J26" s="555">
        <f>SUMIF(79:79,I26,80:80)-SUMIF(79:79,C26,80:80)+100</f>
        <v>100</v>
      </c>
      <c r="K26" s="584">
        <v>5</v>
      </c>
      <c r="L26" s="2127"/>
      <c r="M26" s="2119"/>
      <c r="N26" s="2119"/>
      <c r="O26" s="2126"/>
      <c r="P26" s="3512"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513"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513"/>
      <c r="Q27" s="1590" t="str">
        <f t="shared" si="11"/>
        <v>项目停车位配比</v>
      </c>
      <c r="R27" s="1563" t="s">
        <v>8</v>
      </c>
      <c r="S27" s="1564">
        <f t="shared" si="12"/>
        <v>100</v>
      </c>
      <c r="T27" s="1563" t="s">
        <v>8</v>
      </c>
      <c r="U27" s="1564">
        <f t="shared" si="13"/>
        <v>100</v>
      </c>
      <c r="V27" s="1563" t="s">
        <v>8</v>
      </c>
      <c r="W27" s="1564">
        <f t="shared" si="14"/>
        <v>100</v>
      </c>
      <c r="X27" s="1565"/>
      <c r="Y27" s="3513"/>
      <c r="Z27" s="1566" t="str">
        <f t="shared" si="15"/>
        <v>项目停车位配比</v>
      </c>
      <c r="AA27" s="1562">
        <f t="shared" si="3"/>
        <v>1</v>
      </c>
      <c r="AB27" s="1562">
        <f t="shared" si="4"/>
        <v>1</v>
      </c>
      <c r="AC27" s="1562">
        <f t="shared" si="5"/>
        <v>1</v>
      </c>
    </row>
    <row r="28" spans="1:29" ht="15">
      <c r="A28" s="930"/>
      <c r="B28" s="582" t="s">
        <v>807</v>
      </c>
      <c r="C28" s="574" t="s">
        <v>3468</v>
      </c>
      <c r="D28" s="540">
        <v>100</v>
      </c>
      <c r="E28" s="574" t="s">
        <v>3468</v>
      </c>
      <c r="F28" s="575">
        <f>SUMIF(83:83,E28,84:84)-SUMIF(83:83,C28,84:84)+100</f>
        <v>100</v>
      </c>
      <c r="G28" s="574" t="s">
        <v>3468</v>
      </c>
      <c r="H28" s="540">
        <f>SUMIF(83:83,G28,84:84)-SUMIF(83:83,C28,84:84)+100</f>
        <v>100</v>
      </c>
      <c r="I28" s="574" t="s">
        <v>3468</v>
      </c>
      <c r="J28" s="540">
        <f>SUMIF(83:83,I28,84:84)-SUMIF(83:83,C28,84:84)+100</f>
        <v>100</v>
      </c>
      <c r="K28" s="584">
        <f>'不动产比较法-住宅'!K36</f>
        <v>2</v>
      </c>
      <c r="L28" s="2127"/>
      <c r="M28" s="2119"/>
      <c r="N28" s="2119"/>
      <c r="O28" s="2126"/>
      <c r="P28" s="3513"/>
      <c r="Q28" s="1558" t="str">
        <f t="shared" si="11"/>
        <v>公共部分装修</v>
      </c>
      <c r="R28" s="1559" t="s">
        <v>8</v>
      </c>
      <c r="S28" s="1560">
        <f t="shared" si="12"/>
        <v>100</v>
      </c>
      <c r="T28" s="1559" t="s">
        <v>8</v>
      </c>
      <c r="U28" s="1560">
        <f t="shared" si="13"/>
        <v>100</v>
      </c>
      <c r="V28" s="1559" t="s">
        <v>8</v>
      </c>
      <c r="W28" s="1560">
        <f t="shared" si="14"/>
        <v>100</v>
      </c>
      <c r="X28" s="1553"/>
      <c r="Y28" s="3513"/>
      <c r="Z28" s="1561" t="str">
        <f t="shared" si="15"/>
        <v>公共部分装修</v>
      </c>
      <c r="AA28" s="1562">
        <f t="shared" si="3"/>
        <v>1</v>
      </c>
      <c r="AB28" s="1562">
        <f t="shared" si="4"/>
        <v>1</v>
      </c>
      <c r="AC28" s="1562">
        <f t="shared" si="5"/>
        <v>1</v>
      </c>
    </row>
    <row r="29" spans="1:29" ht="15">
      <c r="A29" s="930"/>
      <c r="B29" s="582" t="s">
        <v>808</v>
      </c>
      <c r="C29" s="879">
        <v>100</v>
      </c>
      <c r="D29" s="540">
        <v>100</v>
      </c>
      <c r="E29" s="879">
        <v>100</v>
      </c>
      <c r="F29" s="575">
        <f>LOOKUP(E29,86:86,87:87)-LOOKUP(C29,86:86,87:87)+100</f>
        <v>100</v>
      </c>
      <c r="G29" s="879">
        <v>100</v>
      </c>
      <c r="H29" s="575">
        <f>LOOKUP(G29,86:86,87:87)-LOOKUP(C29,86:86,87:87)+100</f>
        <v>100</v>
      </c>
      <c r="I29" s="879">
        <v>100</v>
      </c>
      <c r="J29" s="540">
        <f>LOOKUP(I29,86:86,87:87)-LOOKUP(C29,86:86,87:87)+100</f>
        <v>100</v>
      </c>
      <c r="K29" s="584">
        <f>'不动产比较法-住宅'!K37</f>
        <v>1</v>
      </c>
      <c r="L29" s="2127"/>
      <c r="M29" s="2119"/>
      <c r="N29" s="2119"/>
      <c r="O29" s="2126"/>
      <c r="P29" s="3513"/>
      <c r="Q29" s="1558" t="str">
        <f t="shared" si="11"/>
        <v>成新率</v>
      </c>
      <c r="R29" s="1559" t="s">
        <v>8</v>
      </c>
      <c r="S29" s="1560">
        <f t="shared" si="12"/>
        <v>100</v>
      </c>
      <c r="T29" s="1559" t="s">
        <v>8</v>
      </c>
      <c r="U29" s="1560">
        <f t="shared" si="13"/>
        <v>100</v>
      </c>
      <c r="V29" s="1559" t="s">
        <v>8</v>
      </c>
      <c r="W29" s="1560">
        <f t="shared" si="14"/>
        <v>100</v>
      </c>
      <c r="X29" s="1553"/>
      <c r="Y29" s="3513"/>
      <c r="Z29" s="1561" t="str">
        <f t="shared" si="15"/>
        <v>成新率</v>
      </c>
      <c r="AA29" s="1562">
        <f t="shared" si="3"/>
        <v>1</v>
      </c>
      <c r="AB29" s="1562">
        <f t="shared" si="4"/>
        <v>1</v>
      </c>
      <c r="AC29" s="1562">
        <f t="shared" si="5"/>
        <v>1</v>
      </c>
    </row>
    <row r="30" spans="1:29" ht="15">
      <c r="A30" s="930"/>
      <c r="B30" s="582" t="s">
        <v>809</v>
      </c>
      <c r="C30" s="931" t="s">
        <v>3470</v>
      </c>
      <c r="D30" s="540">
        <v>100</v>
      </c>
      <c r="E30" s="931" t="s">
        <v>3470</v>
      </c>
      <c r="F30" s="575">
        <f>SUMIF(88:88,E30,89:89)-SUMIF(88:88,C30,89:89)+100</f>
        <v>100</v>
      </c>
      <c r="G30" s="931" t="s">
        <v>3470</v>
      </c>
      <c r="H30" s="540">
        <f>SUMIF(88:88,E30,89:89)-SUMIF(88:88,C30,89:89)+100</f>
        <v>100</v>
      </c>
      <c r="I30" s="931" t="s">
        <v>3470</v>
      </c>
      <c r="J30" s="540">
        <f>SUMIF(88:88,E30,89:89)-SUMIF(88:88,C30,89:89)+100</f>
        <v>100</v>
      </c>
      <c r="K30" s="584">
        <f>'不动产比较法-住宅'!K38</f>
        <v>2</v>
      </c>
      <c r="L30" s="2127"/>
      <c r="M30" s="2119"/>
      <c r="N30" s="2119"/>
      <c r="O30" s="2126"/>
      <c r="P30" s="3513"/>
      <c r="Q30" s="1558" t="str">
        <f t="shared" si="11"/>
        <v>物业等级</v>
      </c>
      <c r="R30" s="1559" t="s">
        <v>8</v>
      </c>
      <c r="S30" s="1560">
        <f t="shared" si="12"/>
        <v>100</v>
      </c>
      <c r="T30" s="1559" t="s">
        <v>8</v>
      </c>
      <c r="U30" s="1560">
        <f t="shared" si="13"/>
        <v>100</v>
      </c>
      <c r="V30" s="1559" t="s">
        <v>8</v>
      </c>
      <c r="W30" s="1560">
        <f t="shared" si="14"/>
        <v>100</v>
      </c>
      <c r="X30" s="1553"/>
      <c r="Y30" s="3513"/>
      <c r="Z30" s="1561" t="str">
        <f t="shared" si="15"/>
        <v>物业等级</v>
      </c>
      <c r="AA30" s="1562">
        <f t="shared" si="3"/>
        <v>1</v>
      </c>
      <c r="AB30" s="1562">
        <f t="shared" si="4"/>
        <v>1</v>
      </c>
      <c r="AC30" s="1562">
        <f t="shared" si="5"/>
        <v>1</v>
      </c>
    </row>
    <row r="31" spans="1:29" s="1215" customFormat="1" ht="15">
      <c r="A31" s="932"/>
      <c r="B31" s="582" t="s">
        <v>810</v>
      </c>
      <c r="C31" s="879">
        <f>ROUND('数据-取费表'!AH23/'数据-取费表'!AH8,0)</f>
        <v>9</v>
      </c>
      <c r="D31" s="255">
        <v>100</v>
      </c>
      <c r="E31" s="879">
        <v>12</v>
      </c>
      <c r="F31" s="575">
        <f>LOOKUP(E31,91:91,92:92)-LOOKUP(C31,91:91,92:92)+100</f>
        <v>100</v>
      </c>
      <c r="G31" s="879">
        <v>20</v>
      </c>
      <c r="H31" s="540">
        <f>LOOKUP(G31,91:91,92:92)-LOOKUP(C31,91:91,92:92)+100</f>
        <v>102</v>
      </c>
      <c r="I31" s="879">
        <v>13</v>
      </c>
      <c r="J31" s="540">
        <f>LOOKUP(I31,91:91,92:92)-LOOKUP(C31,91:91,92:92)+100</f>
        <v>100</v>
      </c>
      <c r="K31" s="584">
        <v>1</v>
      </c>
      <c r="L31" s="2120"/>
      <c r="M31" s="2121"/>
      <c r="N31" s="2121"/>
      <c r="O31" s="2122"/>
      <c r="P31" s="3513"/>
      <c r="Q31" s="1146" t="str">
        <f t="shared" si="11"/>
        <v>停车位面积</v>
      </c>
      <c r="R31" s="1554" t="s">
        <v>8</v>
      </c>
      <c r="S31" s="1555">
        <f t="shared" si="12"/>
        <v>100</v>
      </c>
      <c r="T31" s="1554" t="s">
        <v>8</v>
      </c>
      <c r="U31" s="1555">
        <f t="shared" si="13"/>
        <v>102</v>
      </c>
      <c r="V31" s="1554" t="s">
        <v>8</v>
      </c>
      <c r="W31" s="1555">
        <f t="shared" si="14"/>
        <v>100</v>
      </c>
      <c r="X31" s="1556"/>
      <c r="Y31" s="3513"/>
      <c r="Z31" s="1145" t="str">
        <f t="shared" si="15"/>
        <v>停车位面积</v>
      </c>
      <c r="AA31" s="1557">
        <f t="shared" si="3"/>
        <v>1</v>
      </c>
      <c r="AB31" s="1557">
        <f t="shared" si="4"/>
        <v>0.98039215686274506</v>
      </c>
      <c r="AC31" s="1557">
        <f t="shared" si="5"/>
        <v>1</v>
      </c>
    </row>
    <row r="32" spans="1:29" ht="15">
      <c r="A32" s="930"/>
      <c r="B32" s="582" t="s">
        <v>811</v>
      </c>
      <c r="C32" s="574" t="s">
        <v>3473</v>
      </c>
      <c r="D32" s="540">
        <v>100</v>
      </c>
      <c r="E32" s="574" t="s">
        <v>3473</v>
      </c>
      <c r="F32" s="575">
        <f>SUMIF(93:93,E32,94:94)-SUMIF(93:93,C32,94:94)+100</f>
        <v>100</v>
      </c>
      <c r="G32" s="574" t="s">
        <v>3473</v>
      </c>
      <c r="H32" s="540">
        <f>SUMIF(93:93,G32,94:94)-SUMIF(93:93,C32,94:94)+100</f>
        <v>100</v>
      </c>
      <c r="I32" s="574" t="s">
        <v>3473</v>
      </c>
      <c r="J32" s="540">
        <f>SUMIF(93:93,I32,94:94)-SUMIF(93:93,C32,94:94)+100</f>
        <v>100</v>
      </c>
      <c r="K32" s="584">
        <v>5</v>
      </c>
      <c r="L32" s="2127"/>
      <c r="M32" s="2119"/>
      <c r="N32" s="2119"/>
      <c r="O32" s="2126"/>
      <c r="P32" s="3513" t="s">
        <v>549</v>
      </c>
      <c r="Q32" s="1558" t="str">
        <f t="shared" si="11"/>
        <v>车位类型</v>
      </c>
      <c r="R32" s="1559" t="s">
        <v>8</v>
      </c>
      <c r="S32" s="1560">
        <f t="shared" si="12"/>
        <v>100</v>
      </c>
      <c r="T32" s="1559" t="s">
        <v>8</v>
      </c>
      <c r="U32" s="1560">
        <f t="shared" si="13"/>
        <v>100</v>
      </c>
      <c r="V32" s="1559" t="s">
        <v>8</v>
      </c>
      <c r="W32" s="1560">
        <f t="shared" si="14"/>
        <v>100</v>
      </c>
      <c r="X32" s="1553"/>
      <c r="Y32" s="3513" t="s">
        <v>549</v>
      </c>
      <c r="Z32" s="1561" t="str">
        <f t="shared" si="15"/>
        <v>车位类型</v>
      </c>
      <c r="AA32" s="1562">
        <f t="shared" si="3"/>
        <v>1</v>
      </c>
      <c r="AB32" s="1562">
        <f t="shared" si="4"/>
        <v>1</v>
      </c>
      <c r="AC32" s="1562">
        <f t="shared" si="5"/>
        <v>1</v>
      </c>
    </row>
    <row r="33" spans="1:29" ht="15.75" thickBot="1">
      <c r="A33" s="930"/>
      <c r="B33" s="582" t="s">
        <v>812</v>
      </c>
      <c r="C33" s="574" t="s">
        <v>3414</v>
      </c>
      <c r="D33" s="540">
        <v>100</v>
      </c>
      <c r="E33" s="574" t="s">
        <v>3414</v>
      </c>
      <c r="F33" s="575">
        <f>SUMIF(95:95,E33,96:96)-SUMIF(95:95,C33,96:96)+100</f>
        <v>100</v>
      </c>
      <c r="G33" s="574" t="s">
        <v>3414</v>
      </c>
      <c r="H33" s="540">
        <f>SUMIF(95:95,G33,96:96)-SUMIF(95:95,C33,96:96)+100</f>
        <v>100</v>
      </c>
      <c r="I33" s="574" t="s">
        <v>3414</v>
      </c>
      <c r="J33" s="540">
        <f>SUMIF(95:95,I33,96:96)-SUMIF(95:95,C33,96:96)+100</f>
        <v>100</v>
      </c>
      <c r="K33" s="584">
        <v>5</v>
      </c>
      <c r="L33" s="2127"/>
      <c r="M33" s="2119"/>
      <c r="N33" s="2119"/>
      <c r="O33" s="2126"/>
      <c r="P33" s="3513"/>
      <c r="Q33" s="1558" t="str">
        <f t="shared" si="11"/>
        <v>是否直接入户</v>
      </c>
      <c r="R33" s="1559" t="s">
        <v>8</v>
      </c>
      <c r="S33" s="1560">
        <f t="shared" si="12"/>
        <v>100</v>
      </c>
      <c r="T33" s="1559" t="s">
        <v>8</v>
      </c>
      <c r="U33" s="1560">
        <f t="shared" si="13"/>
        <v>100</v>
      </c>
      <c r="V33" s="1559" t="s">
        <v>8</v>
      </c>
      <c r="W33" s="1560">
        <f t="shared" si="14"/>
        <v>100</v>
      </c>
      <c r="X33" s="1553"/>
      <c r="Y33" s="3513"/>
      <c r="Z33" s="1561" t="str">
        <f t="shared" si="15"/>
        <v>是否直接入户</v>
      </c>
      <c r="AA33" s="1562">
        <f t="shared" si="3"/>
        <v>1</v>
      </c>
      <c r="AB33" s="1562">
        <f t="shared" si="4"/>
        <v>1</v>
      </c>
      <c r="AC33" s="1562">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513"/>
      <c r="Q34" s="1558">
        <f t="shared" si="11"/>
        <v>111</v>
      </c>
      <c r="R34" s="1559" t="s">
        <v>8</v>
      </c>
      <c r="S34" s="1560">
        <f t="shared" si="12"/>
        <v>100</v>
      </c>
      <c r="T34" s="1559" t="s">
        <v>8</v>
      </c>
      <c r="U34" s="1560">
        <f t="shared" si="13"/>
        <v>100</v>
      </c>
      <c r="V34" s="1559" t="s">
        <v>8</v>
      </c>
      <c r="W34" s="1560">
        <f t="shared" si="14"/>
        <v>100</v>
      </c>
      <c r="X34" s="1553"/>
      <c r="Y34" s="3513"/>
      <c r="Z34" s="1561">
        <f t="shared" si="15"/>
        <v>111</v>
      </c>
      <c r="AA34" s="1562">
        <f t="shared" si="3"/>
        <v>1</v>
      </c>
      <c r="AB34" s="1562">
        <f t="shared" si="4"/>
        <v>1</v>
      </c>
      <c r="AC34" s="1562">
        <f t="shared" si="5"/>
        <v>1</v>
      </c>
    </row>
    <row r="35" spans="1:29" s="1334"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513"/>
      <c r="Q35" s="1590">
        <f t="shared" si="11"/>
        <v>111</v>
      </c>
      <c r="R35" s="1563" t="s">
        <v>8</v>
      </c>
      <c r="S35" s="1564">
        <f t="shared" si="12"/>
        <v>100</v>
      </c>
      <c r="T35" s="1563" t="s">
        <v>8</v>
      </c>
      <c r="U35" s="1564">
        <f t="shared" si="13"/>
        <v>100</v>
      </c>
      <c r="V35" s="1563" t="s">
        <v>8</v>
      </c>
      <c r="W35" s="1564">
        <f t="shared" si="14"/>
        <v>100</v>
      </c>
      <c r="X35" s="1565"/>
      <c r="Y35" s="3513"/>
      <c r="Z35" s="1566">
        <f t="shared" si="15"/>
        <v>111</v>
      </c>
      <c r="AA35" s="1562">
        <f t="shared" si="3"/>
        <v>1</v>
      </c>
      <c r="AB35" s="1562">
        <f t="shared" si="4"/>
        <v>1</v>
      </c>
      <c r="AC35" s="1562">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513"/>
      <c r="Q36" s="1558">
        <f t="shared" si="11"/>
        <v>111</v>
      </c>
      <c r="R36" s="1559" t="s">
        <v>8</v>
      </c>
      <c r="S36" s="1560">
        <f t="shared" si="12"/>
        <v>100</v>
      </c>
      <c r="T36" s="1559" t="s">
        <v>8</v>
      </c>
      <c r="U36" s="1560">
        <f t="shared" si="13"/>
        <v>100</v>
      </c>
      <c r="V36" s="1559" t="s">
        <v>8</v>
      </c>
      <c r="W36" s="1560">
        <f t="shared" si="14"/>
        <v>100</v>
      </c>
      <c r="X36" s="1553"/>
      <c r="Y36" s="3513"/>
      <c r="Z36" s="1561">
        <f t="shared" si="15"/>
        <v>111</v>
      </c>
      <c r="AA36" s="1562">
        <f t="shared" si="3"/>
        <v>1</v>
      </c>
      <c r="AB36" s="1562">
        <f t="shared" si="4"/>
        <v>1</v>
      </c>
      <c r="AC36" s="1562">
        <f t="shared" si="5"/>
        <v>1</v>
      </c>
    </row>
    <row r="37" spans="1:29" ht="15">
      <c r="A37" s="1831" t="s">
        <v>2073</v>
      </c>
      <c r="B37" s="1832" t="s">
        <v>3476</v>
      </c>
      <c r="C37" s="2591" t="s">
        <v>1</v>
      </c>
      <c r="D37" s="2592"/>
      <c r="E37" s="2593">
        <f>ROUND(24*L37*10000,0)</f>
        <v>225612</v>
      </c>
      <c r="F37" s="2594"/>
      <c r="G37" s="2595">
        <f>ROUND(22*L37*10000,0)</f>
        <v>206811</v>
      </c>
      <c r="H37" s="2596"/>
      <c r="I37" s="2593">
        <f>ROUND(21.6*L37*10000,0)</f>
        <v>203051</v>
      </c>
      <c r="J37" s="2596"/>
      <c r="K37" s="1596"/>
      <c r="L37" s="2129">
        <v>0.94005000000000005</v>
      </c>
      <c r="M37" s="2130"/>
      <c r="N37" s="2119"/>
      <c r="O37" s="2130"/>
      <c r="P37" s="3476" t="str">
        <f>A37</f>
        <v>成交单价</v>
      </c>
      <c r="Q37" s="3476"/>
      <c r="R37" s="3570">
        <f>E37</f>
        <v>225612</v>
      </c>
      <c r="S37" s="3570"/>
      <c r="T37" s="3570">
        <f>G37</f>
        <v>206811</v>
      </c>
      <c r="U37" s="3570"/>
      <c r="V37" s="3570">
        <f>I37</f>
        <v>203051</v>
      </c>
      <c r="W37" s="3570"/>
      <c r="X37" s="1545"/>
      <c r="Y37" s="1567"/>
      <c r="Z37" s="1545"/>
      <c r="AA37" s="1545"/>
      <c r="AB37" s="1545"/>
      <c r="AC37" s="1545"/>
    </row>
    <row r="38" spans="1:29" ht="15.75" thickBot="1">
      <c r="A38" s="615" t="s">
        <v>2753</v>
      </c>
      <c r="B38" s="887"/>
      <c r="C38" s="2597">
        <f>R39</f>
        <v>210557</v>
      </c>
      <c r="D38" s="2598"/>
      <c r="E38" s="2599">
        <f>R38</f>
        <v>225702</v>
      </c>
      <c r="F38" s="2599"/>
      <c r="G38" s="2597">
        <f>T38</f>
        <v>202837</v>
      </c>
      <c r="H38" s="2598"/>
      <c r="I38" s="2599">
        <f>V38</f>
        <v>203132</v>
      </c>
      <c r="J38" s="2598"/>
      <c r="K38" s="1597"/>
      <c r="L38" s="2129"/>
      <c r="M38" s="2130"/>
      <c r="N38" s="2130"/>
      <c r="O38" s="2130"/>
      <c r="P38" s="3476" t="str">
        <f>A38</f>
        <v>比较价格（元/平方米）</v>
      </c>
      <c r="Q38" s="3476"/>
      <c r="R38" s="3570">
        <f>IF(F1="售价",ROUND(PRODUCT(R37,AA7:AA36),0),ROUND(PRODUCT(R37,AA7:AA36),1))</f>
        <v>225702</v>
      </c>
      <c r="S38" s="3570"/>
      <c r="T38" s="3570">
        <f>IF(F1="售价",ROUND(PRODUCT(T37,AB7:AB36),0),ROUND(PRODUCT(T37,AB7:AB36),1))</f>
        <v>202837</v>
      </c>
      <c r="U38" s="3570"/>
      <c r="V38" s="3570">
        <f>IF(F1="售价",ROUND(PRODUCT(V37,AC7:AC36),0),ROUND(PRODUCT(V37,AC7:AC36),1))</f>
        <v>203132</v>
      </c>
      <c r="W38" s="3570"/>
      <c r="X38" s="1545"/>
      <c r="Y38" s="1545"/>
      <c r="Z38" s="1545"/>
      <c r="AA38" s="1545"/>
      <c r="AB38" s="1545"/>
      <c r="AC38" s="1545"/>
    </row>
    <row r="39" spans="1:29" ht="15.75" thickBot="1">
      <c r="A39" s="621" t="s">
        <v>2922</v>
      </c>
      <c r="B39" s="622"/>
      <c r="C39" s="2600">
        <f>R39</f>
        <v>210557</v>
      </c>
      <c r="D39" s="2600"/>
      <c r="E39" s="2600"/>
      <c r="F39" s="2600"/>
      <c r="G39" s="2600"/>
      <c r="H39" s="2600"/>
      <c r="I39" s="2600"/>
      <c r="J39" s="2600"/>
      <c r="K39" s="1598"/>
      <c r="L39" s="2129"/>
      <c r="M39" s="2130"/>
      <c r="N39" s="2130"/>
      <c r="O39" s="2130"/>
      <c r="P39" s="3473" t="str">
        <f>A39</f>
        <v>估价对象XX用房的比较价格（楼面单价，元/平方米）</v>
      </c>
      <c r="Q39" s="3474"/>
      <c r="R39" s="3569">
        <f>IF(F1="售价",ROUND(AVERAGE(R38:V38),0),ROUND(AVERAGE(R38:V38),1))</f>
        <v>210557</v>
      </c>
      <c r="S39" s="3569"/>
      <c r="T39" s="3569"/>
      <c r="U39" s="3569"/>
      <c r="V39" s="3569"/>
      <c r="W39" s="3569"/>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f>IF(E37&lt;E38,E38/E37-1,E37/E38-1)</f>
        <v>3.989149513323742E-4</v>
      </c>
      <c r="F42" s="627" t="str">
        <f>IF(OR(E42&gt;=0.3,E42&lt;=-0.3),"超过30%","")</f>
        <v/>
      </c>
      <c r="G42" s="626">
        <f>IF(G37&lt;G38,G38/G37-1,G37/G38-1)</f>
        <v>1.9592086256452257E-2</v>
      </c>
      <c r="H42" s="627" t="str">
        <f>IF(OR(G42&gt;=0.3,G42&lt;=-0.3),"超过30%","")</f>
        <v/>
      </c>
      <c r="I42" s="626">
        <f>IF(I37&lt;I38,I38/I37-1,I37/I38-1)</f>
        <v>3.9891455841134515E-4</v>
      </c>
      <c r="J42" s="627" t="str">
        <f>IF(OR(I42&gt;=0.3,I42&lt;=-0.3),"超过30%","")</f>
        <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f>IF(E38&lt;G38,G38/E38-1,E38/G38-1)</f>
        <v>0.11272598194609462</v>
      </c>
      <c r="F43" s="627" t="str">
        <f>IF(OR(E43&gt;=0.2,E43&lt;=-0.2),"超过20%","")</f>
        <v/>
      </c>
      <c r="G43" s="626">
        <f>IF(G38&lt;I38,I38/G38-1,G38/I38-1)</f>
        <v>1.4543697648849996E-3</v>
      </c>
      <c r="H43" s="627" t="str">
        <f>IF(OR(G43&gt;=0.2,G43&lt;=-0.2),"超过20%","")</f>
        <v/>
      </c>
      <c r="I43" s="626">
        <f>IF(I38&lt;E38,E38/I38-1,I38/E38-1)</f>
        <v>0.1111100171317172</v>
      </c>
      <c r="J43" s="627" t="str">
        <f>IF(OR(I43&gt;=0.2,I43&lt;=-0.2),"超过20%","")</f>
        <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f>IF(E37&lt;G37,G37/E37-1,E37/G37-1)</f>
        <v>9.0909090909090828E-2</v>
      </c>
      <c r="F44" s="627" t="str">
        <f>IF(OR(E44&gt;=0.3,E44&lt;=-0.3),"超过30%","")</f>
        <v/>
      </c>
      <c r="G44" s="626">
        <f>IF(G37&lt;I37,I37/G37-1,G37/I37-1)</f>
        <v>1.8517515304036891E-2</v>
      </c>
      <c r="H44" s="627" t="str">
        <f>IF(OR(G44&gt;=0.3,G44&lt;=-0.3),"超过30%","")</f>
        <v/>
      </c>
      <c r="I44" s="626">
        <f>IF(I37&lt;E37,E37/I37-1,I37/E37-1)</f>
        <v>0.11111001669531295</v>
      </c>
      <c r="J44" s="627" t="str">
        <f>IF(OR(I44&gt;=0.3,I44&lt;=-0.3),"超过30%","")</f>
        <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528</v>
      </c>
      <c r="B48" s="646"/>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t="str">
        <f>C9</f>
        <v>车位</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98</v>
      </c>
      <c r="E64" s="679">
        <f>D64-$K14</f>
        <v>96</v>
      </c>
      <c r="F64" s="679">
        <f>E64-$K14</f>
        <v>94</v>
      </c>
      <c r="G64" s="679">
        <f>F64-$K14</f>
        <v>92</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2550</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98</v>
      </c>
      <c r="E66" s="679">
        <f>D66-$K16</f>
        <v>96</v>
      </c>
      <c r="F66" s="679">
        <f>E66-$K16</f>
        <v>94</v>
      </c>
      <c r="G66" s="679">
        <f>F66-$K16</f>
        <v>92</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2551</v>
      </c>
      <c r="C67" s="2562" t="s">
        <v>2552</v>
      </c>
      <c r="D67" s="2562" t="s">
        <v>2553</v>
      </c>
      <c r="E67" s="2562" t="s">
        <v>2554</v>
      </c>
      <c r="F67" s="2562" t="s">
        <v>2555</v>
      </c>
      <c r="G67" s="2562" t="s">
        <v>2556</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99</v>
      </c>
      <c r="E68" s="679">
        <f>D68-$K18</f>
        <v>98</v>
      </c>
      <c r="F68" s="679">
        <f>E68-$K18</f>
        <v>97</v>
      </c>
      <c r="G68" s="679">
        <f>F68-$K18</f>
        <v>96</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95</v>
      </c>
      <c r="E70" s="679">
        <f>D70-$K20</f>
        <v>90</v>
      </c>
      <c r="F70" s="679">
        <f>E70-$K20</f>
        <v>85</v>
      </c>
      <c r="G70" s="679">
        <f>F70-$K20</f>
        <v>80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t="str">
        <f>C26</f>
        <v>住宅</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95</v>
      </c>
      <c r="E80" s="679">
        <f t="shared" si="17"/>
        <v>90</v>
      </c>
      <c r="F80" s="679">
        <f t="shared" si="17"/>
        <v>85</v>
      </c>
      <c r="G80" s="679">
        <f t="shared" si="17"/>
        <v>80</v>
      </c>
      <c r="H80" s="679">
        <f t="shared" si="17"/>
        <v>75</v>
      </c>
      <c r="I80" s="679">
        <f t="shared" si="17"/>
        <v>70</v>
      </c>
      <c r="J80" s="679">
        <f t="shared" si="17"/>
        <v>65</v>
      </c>
      <c r="K80" s="679">
        <f t="shared" si="17"/>
        <v>60</v>
      </c>
      <c r="L80" s="679">
        <f t="shared" si="17"/>
        <v>55</v>
      </c>
      <c r="M80" s="680">
        <f t="shared" si="17"/>
        <v>50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5" t="s">
        <v>3465</v>
      </c>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3183" t="s">
        <v>3467</v>
      </c>
      <c r="D83" s="3183" t="s">
        <v>3469</v>
      </c>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3190" t="s">
        <v>3471</v>
      </c>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0(含)-10</v>
      </c>
      <c r="D90" s="708" t="str">
        <f t="shared" ref="D90:L90" si="21">D91&amp;"(含)"&amp;"-"&amp;E91</f>
        <v>10(含)-20</v>
      </c>
      <c r="E90" s="708" t="str">
        <f t="shared" si="21"/>
        <v>20(含)-30</v>
      </c>
      <c r="F90" s="708" t="str">
        <f t="shared" si="21"/>
        <v>30(含)-40</v>
      </c>
      <c r="G90" s="708" t="str">
        <f t="shared" si="21"/>
        <v>40(含)-50</v>
      </c>
      <c r="H90" s="708" t="str">
        <f t="shared" si="21"/>
        <v>50(含)-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v>0</v>
      </c>
      <c r="D91" s="3194" t="s">
        <v>3472</v>
      </c>
      <c r="E91" s="730">
        <v>20</v>
      </c>
      <c r="F91" s="730">
        <v>30</v>
      </c>
      <c r="G91" s="730">
        <v>40</v>
      </c>
      <c r="H91" s="730">
        <v>50</v>
      </c>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v>100</v>
      </c>
      <c r="D92" s="671">
        <f>C92+$K$31</f>
        <v>101</v>
      </c>
      <c r="E92" s="671">
        <f t="shared" ref="E92:G92" si="22">D92+$K$31</f>
        <v>102</v>
      </c>
      <c r="F92" s="671">
        <f t="shared" si="22"/>
        <v>103</v>
      </c>
      <c r="G92" s="671">
        <f t="shared" si="22"/>
        <v>104</v>
      </c>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3183" t="s">
        <v>3474</v>
      </c>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3">C94-$K32</f>
        <v>95</v>
      </c>
      <c r="E94" s="679">
        <f t="shared" si="23"/>
        <v>90</v>
      </c>
      <c r="F94" s="679">
        <f t="shared" si="23"/>
        <v>85</v>
      </c>
      <c r="G94" s="679">
        <f t="shared" si="23"/>
        <v>80</v>
      </c>
      <c r="H94" s="679">
        <f t="shared" si="23"/>
        <v>75</v>
      </c>
      <c r="I94" s="679">
        <f t="shared" si="23"/>
        <v>70</v>
      </c>
      <c r="J94" s="679">
        <f t="shared" si="23"/>
        <v>65</v>
      </c>
      <c r="K94" s="679">
        <f t="shared" si="23"/>
        <v>60</v>
      </c>
      <c r="L94" s="679">
        <f t="shared" si="23"/>
        <v>55</v>
      </c>
      <c r="M94" s="680">
        <f t="shared" si="23"/>
        <v>50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3190" t="s">
        <v>3475</v>
      </c>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95</v>
      </c>
      <c r="E96" s="679">
        <f>D96-$K33</f>
        <v>90</v>
      </c>
      <c r="F96" s="679">
        <f>E96-$K33</f>
        <v>85</v>
      </c>
      <c r="G96" s="679">
        <f>F96-$K33</f>
        <v>80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disablePrompts="1"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482" t="s">
        <v>797</v>
      </c>
      <c r="D4" s="3483"/>
      <c r="E4" s="3516" t="s">
        <v>798</v>
      </c>
      <c r="F4" s="3517"/>
      <c r="G4" s="3482" t="s">
        <v>799</v>
      </c>
      <c r="H4" s="3483"/>
      <c r="I4" s="3482" t="s">
        <v>800</v>
      </c>
      <c r="J4" s="3483"/>
      <c r="K4" s="514" t="s">
        <v>801</v>
      </c>
      <c r="L4" s="2118"/>
      <c r="M4" s="2119"/>
      <c r="N4" s="2119"/>
      <c r="O4" s="2119"/>
      <c r="P4" s="3484" t="s">
        <v>802</v>
      </c>
      <c r="Q4" s="3485"/>
      <c r="R4" s="3490" t="s">
        <v>798</v>
      </c>
      <c r="S4" s="3491"/>
      <c r="T4" s="3490" t="s">
        <v>799</v>
      </c>
      <c r="U4" s="3491"/>
      <c r="V4" s="3477" t="s">
        <v>800</v>
      </c>
      <c r="W4" s="3477"/>
      <c r="X4" s="1553"/>
      <c r="Y4" s="3490" t="s">
        <v>802</v>
      </c>
      <c r="Z4" s="3491"/>
      <c r="AA4" s="3479" t="s">
        <v>798</v>
      </c>
      <c r="AB4" s="3480" t="s">
        <v>799</v>
      </c>
      <c r="AC4" s="3479" t="s">
        <v>800</v>
      </c>
    </row>
    <row r="5" spans="1:29" ht="15">
      <c r="A5" s="515"/>
      <c r="B5" s="516"/>
      <c r="C5" s="3498" t="s">
        <v>2916</v>
      </c>
      <c r="D5" s="3499"/>
      <c r="E5" s="3518" t="s">
        <v>2917</v>
      </c>
      <c r="F5" s="3519"/>
      <c r="G5" s="3498" t="s">
        <v>2918</v>
      </c>
      <c r="H5" s="3499"/>
      <c r="I5" s="3498" t="s">
        <v>2919</v>
      </c>
      <c r="J5" s="3499"/>
      <c r="K5" s="514"/>
      <c r="L5" s="2118"/>
      <c r="M5" s="2119"/>
      <c r="N5" s="2119"/>
      <c r="O5" s="2119"/>
      <c r="P5" s="3486"/>
      <c r="Q5" s="3487"/>
      <c r="R5" s="3492"/>
      <c r="S5" s="3493"/>
      <c r="T5" s="3492"/>
      <c r="U5" s="3493"/>
      <c r="V5" s="3477"/>
      <c r="W5" s="3477"/>
      <c r="X5" s="1553"/>
      <c r="Y5" s="3492"/>
      <c r="Z5" s="3493"/>
      <c r="AA5" s="3480"/>
      <c r="AB5" s="3480"/>
      <c r="AC5" s="3480"/>
    </row>
    <row r="6" spans="1:29" ht="15.75" thickBot="1">
      <c r="A6" s="517"/>
      <c r="B6" s="518"/>
      <c r="C6" s="3496" t="s">
        <v>2920</v>
      </c>
      <c r="D6" s="3497"/>
      <c r="E6" s="3514" t="s">
        <v>2920</v>
      </c>
      <c r="F6" s="3515"/>
      <c r="G6" s="3496" t="s">
        <v>2920</v>
      </c>
      <c r="H6" s="3497"/>
      <c r="I6" s="3496" t="s">
        <v>2920</v>
      </c>
      <c r="J6" s="3497"/>
      <c r="K6" s="514" t="s">
        <v>527</v>
      </c>
      <c r="L6" s="2118"/>
      <c r="M6" s="2119"/>
      <c r="N6" s="2119"/>
      <c r="O6" s="2119"/>
      <c r="P6" s="3488"/>
      <c r="Q6" s="3489"/>
      <c r="R6" s="3492"/>
      <c r="S6" s="3493"/>
      <c r="T6" s="3494"/>
      <c r="U6" s="3495"/>
      <c r="V6" s="3477"/>
      <c r="W6" s="3477"/>
      <c r="X6" s="1553"/>
      <c r="Y6" s="3494"/>
      <c r="Z6" s="3495"/>
      <c r="AA6" s="3481"/>
      <c r="AB6" s="3481"/>
      <c r="AC6" s="3481"/>
    </row>
    <row r="7" spans="1:29" s="1215" customFormat="1" ht="15.75" thickBot="1">
      <c r="A7" s="2866"/>
      <c r="B7" s="2873" t="s">
        <v>528</v>
      </c>
      <c r="C7" s="519">
        <f>'数据-取费表'!B2</f>
        <v>43629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507" t="s">
        <v>529</v>
      </c>
      <c r="Q7" s="3509"/>
      <c r="R7" s="1554" t="s">
        <v>8</v>
      </c>
      <c r="S7" s="1555">
        <f t="shared" ref="S7:S14" si="0">F7</f>
        <v>0</v>
      </c>
      <c r="T7" s="1554" t="s">
        <v>8</v>
      </c>
      <c r="U7" s="1555">
        <f t="shared" ref="U7:U14" si="1">H7</f>
        <v>0</v>
      </c>
      <c r="V7" s="1554" t="s">
        <v>8</v>
      </c>
      <c r="W7" s="1555">
        <f t="shared" ref="W7:W14" si="2">J7</f>
        <v>0</v>
      </c>
      <c r="X7" s="1556"/>
      <c r="Y7" s="3507" t="s">
        <v>529</v>
      </c>
      <c r="Z7" s="3508"/>
      <c r="AA7" s="1557" t="e">
        <f>D7/F7</f>
        <v>#DIV/0!</v>
      </c>
      <c r="AB7" s="1557" t="e">
        <f>D7/H7</f>
        <v>#DIV/0!</v>
      </c>
      <c r="AC7" s="1557" t="e">
        <f>D7/J7</f>
        <v>#DIV/0!</v>
      </c>
    </row>
    <row r="8" spans="1:29" s="1215"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507" t="s">
        <v>532</v>
      </c>
      <c r="Q8" s="3508"/>
      <c r="R8" s="1554" t="s">
        <v>8</v>
      </c>
      <c r="S8" s="1555">
        <f t="shared" si="0"/>
        <v>0</v>
      </c>
      <c r="T8" s="1554" t="s">
        <v>8</v>
      </c>
      <c r="U8" s="1555">
        <f t="shared" si="1"/>
        <v>0</v>
      </c>
      <c r="V8" s="1554" t="s">
        <v>8</v>
      </c>
      <c r="W8" s="1555">
        <f t="shared" si="2"/>
        <v>0</v>
      </c>
      <c r="X8" s="1556"/>
      <c r="Y8" s="3507" t="s">
        <v>532</v>
      </c>
      <c r="Z8" s="3508"/>
      <c r="AA8" s="1557" t="e">
        <f t="shared" ref="AA8:AA34" si="3">D8/F8</f>
        <v>#DIV/0!</v>
      </c>
      <c r="AB8" s="1557" t="e">
        <f t="shared" ref="AB8:AB34" si="4">D8/H8</f>
        <v>#DIV/0!</v>
      </c>
      <c r="AC8" s="1557" t="e">
        <f t="shared" ref="AC8:AC34" si="5">D8/J8</f>
        <v>#DIV/0!</v>
      </c>
    </row>
    <row r="9" spans="1:29" s="1215" customFormat="1" ht="15">
      <c r="A9" s="2868"/>
      <c r="B9" s="2875" t="s">
        <v>2749</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76" t="s">
        <v>534</v>
      </c>
      <c r="Q9" s="1146" t="str">
        <f t="shared" ref="Q9:Q14" si="6">B9</f>
        <v>用途</v>
      </c>
      <c r="R9" s="1554" t="s">
        <v>8</v>
      </c>
      <c r="S9" s="1555">
        <f t="shared" si="0"/>
        <v>100</v>
      </c>
      <c r="T9" s="1554" t="s">
        <v>8</v>
      </c>
      <c r="U9" s="1555">
        <f t="shared" si="1"/>
        <v>100</v>
      </c>
      <c r="V9" s="1554" t="s">
        <v>8</v>
      </c>
      <c r="W9" s="1555">
        <f t="shared" si="2"/>
        <v>100</v>
      </c>
      <c r="X9" s="1556"/>
      <c r="Y9" s="3398" t="s">
        <v>535</v>
      </c>
      <c r="Z9" s="1145" t="str">
        <f t="shared" ref="Z9:Z14" si="7">Q9</f>
        <v>用途</v>
      </c>
      <c r="AA9" s="1557">
        <f t="shared" si="3"/>
        <v>1</v>
      </c>
      <c r="AB9" s="1557">
        <f t="shared" si="4"/>
        <v>1</v>
      </c>
      <c r="AC9" s="1557">
        <f t="shared" si="5"/>
        <v>1</v>
      </c>
    </row>
    <row r="10" spans="1:29" s="1333" customFormat="1" ht="27">
      <c r="A10" s="2869"/>
      <c r="B10" s="2874" t="s">
        <v>2750</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76"/>
      <c r="Q10" s="1146" t="str">
        <f t="shared" si="6"/>
        <v>土地使用年限（年）</v>
      </c>
      <c r="R10" s="1554" t="s">
        <v>8</v>
      </c>
      <c r="S10" s="1555">
        <f t="shared" si="0"/>
        <v>100</v>
      </c>
      <c r="T10" s="1554" t="s">
        <v>8</v>
      </c>
      <c r="U10" s="1555">
        <f t="shared" si="1"/>
        <v>100</v>
      </c>
      <c r="V10" s="1554" t="s">
        <v>8</v>
      </c>
      <c r="W10" s="1555">
        <f t="shared" si="2"/>
        <v>100</v>
      </c>
      <c r="X10" s="1556"/>
      <c r="Y10" s="3398"/>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476"/>
      <c r="Q11" s="1146">
        <f t="shared" si="6"/>
        <v>111</v>
      </c>
      <c r="R11" s="1554" t="s">
        <v>8</v>
      </c>
      <c r="S11" s="1555">
        <f t="shared" si="0"/>
        <v>100</v>
      </c>
      <c r="T11" s="1554" t="s">
        <v>8</v>
      </c>
      <c r="U11" s="1555">
        <f t="shared" si="1"/>
        <v>100</v>
      </c>
      <c r="V11" s="1554" t="s">
        <v>8</v>
      </c>
      <c r="W11" s="1555">
        <f t="shared" si="2"/>
        <v>100</v>
      </c>
      <c r="X11" s="1556"/>
      <c r="Y11" s="3398"/>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476"/>
      <c r="Q12" s="1146">
        <f t="shared" si="6"/>
        <v>111</v>
      </c>
      <c r="R12" s="1554" t="s">
        <v>8</v>
      </c>
      <c r="S12" s="1555">
        <f t="shared" si="0"/>
        <v>100</v>
      </c>
      <c r="T12" s="1554" t="s">
        <v>8</v>
      </c>
      <c r="U12" s="1555">
        <f t="shared" si="1"/>
        <v>100</v>
      </c>
      <c r="V12" s="1554" t="s">
        <v>8</v>
      </c>
      <c r="W12" s="1555">
        <f t="shared" si="2"/>
        <v>100</v>
      </c>
      <c r="X12" s="1556"/>
      <c r="Y12" s="3398"/>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476"/>
      <c r="Q13" s="1146">
        <f t="shared" si="6"/>
        <v>111</v>
      </c>
      <c r="R13" s="1554" t="s">
        <v>8</v>
      </c>
      <c r="S13" s="1555">
        <f t="shared" si="0"/>
        <v>100</v>
      </c>
      <c r="T13" s="1554" t="s">
        <v>8</v>
      </c>
      <c r="U13" s="1555">
        <f t="shared" si="1"/>
        <v>100</v>
      </c>
      <c r="V13" s="1554" t="s">
        <v>8</v>
      </c>
      <c r="W13" s="1555">
        <f t="shared" si="2"/>
        <v>100</v>
      </c>
      <c r="X13" s="1556"/>
      <c r="Y13" s="3398"/>
      <c r="Z13" s="1145">
        <f t="shared" si="7"/>
        <v>111</v>
      </c>
      <c r="AA13" s="1557">
        <f t="shared" si="3"/>
        <v>1</v>
      </c>
      <c r="AB13" s="1557">
        <f t="shared" si="4"/>
        <v>1</v>
      </c>
      <c r="AC13" s="1557">
        <f t="shared" si="5"/>
        <v>1</v>
      </c>
    </row>
    <row r="14" spans="1:29" ht="15">
      <c r="A14" s="2864" t="s">
        <v>2747</v>
      </c>
      <c r="B14" s="166" t="s">
        <v>542</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510" t="s">
        <v>539</v>
      </c>
      <c r="Q14" s="1558" t="str">
        <f t="shared" si="6"/>
        <v>交通便捷度</v>
      </c>
      <c r="R14" s="1559" t="s">
        <v>8</v>
      </c>
      <c r="S14" s="1560">
        <f t="shared" si="0"/>
        <v>100</v>
      </c>
      <c r="T14" s="1559" t="s">
        <v>8</v>
      </c>
      <c r="U14" s="1560">
        <f t="shared" si="1"/>
        <v>100</v>
      </c>
      <c r="V14" s="1559" t="s">
        <v>8</v>
      </c>
      <c r="W14" s="1560">
        <f t="shared" si="2"/>
        <v>100</v>
      </c>
      <c r="X14" s="1553"/>
      <c r="Y14" s="3510"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511"/>
      <c r="Q15" s="1558"/>
      <c r="R15" s="1559"/>
      <c r="S15" s="1560"/>
      <c r="T15" s="1559"/>
      <c r="U15" s="1560"/>
      <c r="V15" s="1559"/>
      <c r="W15" s="1560"/>
      <c r="X15" s="1553"/>
      <c r="Y15" s="3511"/>
      <c r="Z15" s="1561"/>
      <c r="AA15" s="1562">
        <v>1</v>
      </c>
      <c r="AB15" s="1562">
        <v>1</v>
      </c>
      <c r="AC15" s="1562">
        <v>1</v>
      </c>
    </row>
    <row r="16" spans="1:29" ht="15">
      <c r="A16" s="532"/>
      <c r="B16" s="2567" t="s">
        <v>2539</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511"/>
      <c r="Q16" s="1558" t="str">
        <f>B16</f>
        <v>公共配套设施</v>
      </c>
      <c r="R16" s="1559" t="s">
        <v>8</v>
      </c>
      <c r="S16" s="1560">
        <f>F16</f>
        <v>100</v>
      </c>
      <c r="T16" s="1559" t="s">
        <v>8</v>
      </c>
      <c r="U16" s="1560">
        <f>H16</f>
        <v>100</v>
      </c>
      <c r="V16" s="1559" t="s">
        <v>8</v>
      </c>
      <c r="W16" s="1560">
        <f>J16</f>
        <v>100</v>
      </c>
      <c r="X16" s="1553"/>
      <c r="Y16" s="351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511"/>
      <c r="Q17" s="1558"/>
      <c r="R17" s="1559"/>
      <c r="S17" s="1560"/>
      <c r="T17" s="1559"/>
      <c r="U17" s="1560"/>
      <c r="V17" s="1559"/>
      <c r="W17" s="1560"/>
      <c r="X17" s="1553"/>
      <c r="Y17" s="3511"/>
      <c r="Z17" s="1561"/>
      <c r="AA17" s="1562">
        <v>1</v>
      </c>
      <c r="AB17" s="1562">
        <v>1</v>
      </c>
      <c r="AC17" s="1562">
        <v>1</v>
      </c>
    </row>
    <row r="18" spans="1:29" ht="15">
      <c r="A18" s="532"/>
      <c r="B18" s="2555" t="s">
        <v>2551</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511"/>
      <c r="Q18" s="2543" t="str">
        <f>B18</f>
        <v>基础设施水平</v>
      </c>
      <c r="R18" s="1559" t="s">
        <v>8</v>
      </c>
      <c r="S18" s="1560">
        <f>F18</f>
        <v>100</v>
      </c>
      <c r="T18" s="1559" t="s">
        <v>8</v>
      </c>
      <c r="U18" s="1560">
        <f>H18</f>
        <v>100</v>
      </c>
      <c r="V18" s="1559" t="s">
        <v>8</v>
      </c>
      <c r="W18" s="1560">
        <f>J18</f>
        <v>100</v>
      </c>
      <c r="X18" s="2545"/>
      <c r="Y18" s="3511"/>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511"/>
      <c r="Q19" s="2543"/>
      <c r="R19" s="1559"/>
      <c r="S19" s="1560"/>
      <c r="T19" s="1559"/>
      <c r="U19" s="1560"/>
      <c r="V19" s="1559"/>
      <c r="W19" s="1560"/>
      <c r="X19" s="2545"/>
      <c r="Y19" s="3511"/>
      <c r="Z19" s="2544"/>
      <c r="AA19" s="1562">
        <v>1</v>
      </c>
      <c r="AB19" s="1562">
        <v>1</v>
      </c>
      <c r="AC19" s="1562">
        <v>1</v>
      </c>
    </row>
    <row r="20" spans="1:29" ht="15">
      <c r="A20" s="532"/>
      <c r="B20" s="871" t="s">
        <v>803</v>
      </c>
      <c r="C20" s="872" t="str">
        <f>IF(B1="工业",估价对象房地状况!G7,估价对象房地状况!C9)</f>
        <v>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511"/>
      <c r="Q20" s="1558" t="str">
        <f>B20</f>
        <v>自然及人文环境</v>
      </c>
      <c r="R20" s="1559" t="s">
        <v>8</v>
      </c>
      <c r="S20" s="1560">
        <f>F20</f>
        <v>100</v>
      </c>
      <c r="T20" s="1559" t="s">
        <v>8</v>
      </c>
      <c r="U20" s="1560">
        <f>H20</f>
        <v>100</v>
      </c>
      <c r="V20" s="1559" t="s">
        <v>8</v>
      </c>
      <c r="W20" s="1560">
        <f>J20</f>
        <v>100</v>
      </c>
      <c r="X20" s="1553"/>
      <c r="Y20" s="351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511"/>
      <c r="Q21" s="1558"/>
      <c r="R21" s="1559"/>
      <c r="S21" s="1560"/>
      <c r="T21" s="1559"/>
      <c r="U21" s="1560"/>
      <c r="V21" s="1559"/>
      <c r="W21" s="1560"/>
      <c r="X21" s="1553"/>
      <c r="Y21" s="3511"/>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511"/>
      <c r="Q22" s="1558" t="str">
        <f>B22</f>
        <v>楼层</v>
      </c>
      <c r="R22" s="1559" t="s">
        <v>8</v>
      </c>
      <c r="S22" s="1560">
        <f>F22</f>
        <v>100</v>
      </c>
      <c r="T22" s="1559" t="s">
        <v>8</v>
      </c>
      <c r="U22" s="1560">
        <f>H22</f>
        <v>100</v>
      </c>
      <c r="V22" s="1559" t="s">
        <v>8</v>
      </c>
      <c r="W22" s="1560">
        <f>J22</f>
        <v>100</v>
      </c>
      <c r="X22" s="1553"/>
      <c r="Y22" s="351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511"/>
      <c r="Q23" s="1558">
        <f>B23</f>
        <v>111</v>
      </c>
      <c r="R23" s="1559" t="s">
        <v>8</v>
      </c>
      <c r="S23" s="1560">
        <f>F23</f>
        <v>100</v>
      </c>
      <c r="T23" s="1559" t="s">
        <v>8</v>
      </c>
      <c r="U23" s="1560">
        <f>H23</f>
        <v>100</v>
      </c>
      <c r="V23" s="1559" t="s">
        <v>8</v>
      </c>
      <c r="W23" s="1560">
        <f>J23</f>
        <v>100</v>
      </c>
      <c r="X23" s="1553"/>
      <c r="Y23" s="351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511"/>
      <c r="Q24" s="1558">
        <f t="shared" ref="Q24:Q34" si="11">B24</f>
        <v>111</v>
      </c>
      <c r="R24" s="1559" t="s">
        <v>8</v>
      </c>
      <c r="S24" s="1560">
        <f>F24</f>
        <v>100</v>
      </c>
      <c r="T24" s="1559" t="s">
        <v>8</v>
      </c>
      <c r="U24" s="1560">
        <f>H24</f>
        <v>100</v>
      </c>
      <c r="V24" s="1559" t="s">
        <v>8</v>
      </c>
      <c r="W24" s="1560">
        <f>J24</f>
        <v>100</v>
      </c>
      <c r="X24" s="1553"/>
      <c r="Y24" s="3511"/>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511"/>
      <c r="Q25" s="1146">
        <f t="shared" si="11"/>
        <v>111</v>
      </c>
      <c r="R25" s="1554" t="s">
        <v>8</v>
      </c>
      <c r="S25" s="1555">
        <f>F25</f>
        <v>100</v>
      </c>
      <c r="T25" s="1554" t="s">
        <v>8</v>
      </c>
      <c r="U25" s="1555">
        <f>H25</f>
        <v>100</v>
      </c>
      <c r="V25" s="1554" t="s">
        <v>8</v>
      </c>
      <c r="W25" s="1555">
        <f>J25</f>
        <v>100</v>
      </c>
      <c r="X25" s="1556"/>
      <c r="Y25" s="3511"/>
      <c r="Z25" s="1145">
        <f>Q25</f>
        <v>111</v>
      </c>
      <c r="AA25" s="1562">
        <f>D25/F25</f>
        <v>1</v>
      </c>
      <c r="AB25" s="1562">
        <f>D25/H25</f>
        <v>1</v>
      </c>
      <c r="AC25" s="1562">
        <f>D25/J25</f>
        <v>1</v>
      </c>
    </row>
    <row r="26" spans="1:29" ht="15">
      <c r="A26" s="2862" t="s">
        <v>2748</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512"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513"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513"/>
      <c r="Q27" s="1590" t="str">
        <f t="shared" si="11"/>
        <v>成新率</v>
      </c>
      <c r="R27" s="1563" t="s">
        <v>8</v>
      </c>
      <c r="S27" s="1564" t="e">
        <f t="shared" si="12"/>
        <v>#N/A</v>
      </c>
      <c r="T27" s="1563" t="s">
        <v>8</v>
      </c>
      <c r="U27" s="1564" t="e">
        <f t="shared" si="13"/>
        <v>#N/A</v>
      </c>
      <c r="V27" s="1563" t="s">
        <v>8</v>
      </c>
      <c r="W27" s="1564" t="e">
        <f t="shared" si="14"/>
        <v>#N/A</v>
      </c>
      <c r="X27" s="1565"/>
      <c r="Y27" s="3513"/>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513"/>
      <c r="Q28" s="1558" t="str">
        <f t="shared" si="11"/>
        <v>物业等级</v>
      </c>
      <c r="R28" s="1559" t="s">
        <v>8</v>
      </c>
      <c r="S28" s="1560">
        <f t="shared" si="12"/>
        <v>100</v>
      </c>
      <c r="T28" s="1559" t="s">
        <v>8</v>
      </c>
      <c r="U28" s="1560">
        <f t="shared" si="13"/>
        <v>100</v>
      </c>
      <c r="V28" s="1559" t="s">
        <v>8</v>
      </c>
      <c r="W28" s="1560">
        <f t="shared" si="14"/>
        <v>100</v>
      </c>
      <c r="X28" s="1553"/>
      <c r="Y28" s="3513"/>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513"/>
      <c r="Q29" s="1558" t="str">
        <f t="shared" si="11"/>
        <v>有无电梯</v>
      </c>
      <c r="R29" s="1559" t="s">
        <v>8</v>
      </c>
      <c r="S29" s="1560">
        <f t="shared" si="12"/>
        <v>100</v>
      </c>
      <c r="T29" s="1559" t="s">
        <v>8</v>
      </c>
      <c r="U29" s="1560">
        <f t="shared" si="13"/>
        <v>100</v>
      </c>
      <c r="V29" s="1559" t="s">
        <v>8</v>
      </c>
      <c r="W29" s="1560">
        <f t="shared" si="14"/>
        <v>100</v>
      </c>
      <c r="X29" s="1553"/>
      <c r="Y29" s="3513"/>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513"/>
      <c r="Q30" s="1558" t="str">
        <f t="shared" si="11"/>
        <v>建筑面积</v>
      </c>
      <c r="R30" s="1559" t="s">
        <v>8</v>
      </c>
      <c r="S30" s="1560" t="e">
        <f t="shared" si="12"/>
        <v>#N/A</v>
      </c>
      <c r="T30" s="1559" t="s">
        <v>8</v>
      </c>
      <c r="U30" s="1560" t="e">
        <f t="shared" si="13"/>
        <v>#N/A</v>
      </c>
      <c r="V30" s="1559" t="s">
        <v>8</v>
      </c>
      <c r="W30" s="1560" t="e">
        <f t="shared" si="14"/>
        <v>#N/A</v>
      </c>
      <c r="X30" s="1553"/>
      <c r="Y30" s="3513"/>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513"/>
      <c r="Q31" s="1146" t="str">
        <f t="shared" si="11"/>
        <v>是否封闭</v>
      </c>
      <c r="R31" s="1554" t="s">
        <v>8</v>
      </c>
      <c r="S31" s="1555">
        <f t="shared" si="12"/>
        <v>100</v>
      </c>
      <c r="T31" s="1554" t="s">
        <v>8</v>
      </c>
      <c r="U31" s="1555">
        <f t="shared" si="13"/>
        <v>100</v>
      </c>
      <c r="V31" s="1554" t="s">
        <v>8</v>
      </c>
      <c r="W31" s="1555">
        <f t="shared" si="14"/>
        <v>100</v>
      </c>
      <c r="X31" s="1556"/>
      <c r="Y31" s="3513"/>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513" t="s">
        <v>549</v>
      </c>
      <c r="Q32" s="1558">
        <f t="shared" si="11"/>
        <v>111</v>
      </c>
      <c r="R32" s="1559" t="s">
        <v>8</v>
      </c>
      <c r="S32" s="1560">
        <f t="shared" si="12"/>
        <v>100</v>
      </c>
      <c r="T32" s="1559" t="s">
        <v>8</v>
      </c>
      <c r="U32" s="1560">
        <f t="shared" si="13"/>
        <v>100</v>
      </c>
      <c r="V32" s="1559" t="s">
        <v>8</v>
      </c>
      <c r="W32" s="1560">
        <f t="shared" si="14"/>
        <v>100</v>
      </c>
      <c r="X32" s="1553"/>
      <c r="Y32" s="3513"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513"/>
      <c r="Q33" s="1558">
        <f t="shared" si="11"/>
        <v>111</v>
      </c>
      <c r="R33" s="1559" t="s">
        <v>8</v>
      </c>
      <c r="S33" s="1560">
        <f t="shared" si="12"/>
        <v>100</v>
      </c>
      <c r="T33" s="1559" t="s">
        <v>8</v>
      </c>
      <c r="U33" s="1560">
        <f t="shared" si="13"/>
        <v>100</v>
      </c>
      <c r="V33" s="1559" t="s">
        <v>8</v>
      </c>
      <c r="W33" s="1560">
        <f t="shared" si="14"/>
        <v>100</v>
      </c>
      <c r="X33" s="1553"/>
      <c r="Y33" s="3513"/>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513"/>
      <c r="Q34" s="1558">
        <f t="shared" si="11"/>
        <v>111</v>
      </c>
      <c r="R34" s="1559" t="s">
        <v>8</v>
      </c>
      <c r="S34" s="1560">
        <f t="shared" si="12"/>
        <v>100</v>
      </c>
      <c r="T34" s="1559" t="s">
        <v>8</v>
      </c>
      <c r="U34" s="1560">
        <f t="shared" si="13"/>
        <v>100</v>
      </c>
      <c r="V34" s="1559" t="s">
        <v>8</v>
      </c>
      <c r="W34" s="1560">
        <f t="shared" si="14"/>
        <v>100</v>
      </c>
      <c r="X34" s="1553"/>
      <c r="Y34" s="3513"/>
      <c r="Z34" s="1561">
        <f t="shared" si="15"/>
        <v>111</v>
      </c>
      <c r="AA34" s="1562">
        <f t="shared" si="3"/>
        <v>1</v>
      </c>
      <c r="AB34" s="1562">
        <f t="shared" si="4"/>
        <v>1</v>
      </c>
      <c r="AC34" s="1562">
        <f t="shared" si="5"/>
        <v>1</v>
      </c>
    </row>
    <row r="35" spans="1:29" ht="15">
      <c r="A35" s="607" t="s">
        <v>735</v>
      </c>
      <c r="B35" s="886"/>
      <c r="C35" s="2591" t="s">
        <v>1</v>
      </c>
      <c r="D35" s="2592"/>
      <c r="E35" s="2593"/>
      <c r="F35" s="2594"/>
      <c r="G35" s="2595"/>
      <c r="H35" s="2596"/>
      <c r="I35" s="2593"/>
      <c r="J35" s="2596"/>
      <c r="K35" s="1596"/>
      <c r="L35" s="2129"/>
      <c r="M35" s="2130"/>
      <c r="N35" s="2119"/>
      <c r="O35" s="2130"/>
      <c r="P35" s="3476" t="str">
        <f>A35</f>
        <v>成交单价（元/平方米）</v>
      </c>
      <c r="Q35" s="3476"/>
      <c r="R35" s="3570">
        <f>E35</f>
        <v>0</v>
      </c>
      <c r="S35" s="3570"/>
      <c r="T35" s="3570">
        <f>G35</f>
        <v>0</v>
      </c>
      <c r="U35" s="3570"/>
      <c r="V35" s="3570">
        <f>I35</f>
        <v>0</v>
      </c>
      <c r="W35" s="3570"/>
      <c r="X35" s="1545"/>
      <c r="Y35" s="1567"/>
      <c r="Z35" s="1545"/>
      <c r="AA35" s="1545"/>
      <c r="AB35" s="1545"/>
      <c r="AC35" s="1545"/>
    </row>
    <row r="36" spans="1:29" ht="15.75" thickBot="1">
      <c r="A36" s="615" t="s">
        <v>2753</v>
      </c>
      <c r="B36" s="887"/>
      <c r="C36" s="2597" t="e">
        <f>R37</f>
        <v>#DIV/0!</v>
      </c>
      <c r="D36" s="2598"/>
      <c r="E36" s="2599" t="e">
        <f>R36</f>
        <v>#DIV/0!</v>
      </c>
      <c r="F36" s="2599"/>
      <c r="G36" s="2597" t="e">
        <f>T36</f>
        <v>#DIV/0!</v>
      </c>
      <c r="H36" s="2598"/>
      <c r="I36" s="2599" t="e">
        <f>V36</f>
        <v>#DIV/0!</v>
      </c>
      <c r="J36" s="2598"/>
      <c r="K36" s="1597"/>
      <c r="L36" s="2129"/>
      <c r="M36" s="2130"/>
      <c r="N36" s="2119"/>
      <c r="O36" s="2130"/>
      <c r="P36" s="3476" t="str">
        <f>A36</f>
        <v>比较价格（元/平方米）</v>
      </c>
      <c r="Q36" s="3476"/>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545"/>
      <c r="Y36" s="1545"/>
      <c r="Z36" s="1545"/>
      <c r="AA36" s="1545"/>
      <c r="AB36" s="1545"/>
      <c r="AC36" s="1545"/>
    </row>
    <row r="37" spans="1:29" ht="15.75" thickBot="1">
      <c r="A37" s="621" t="s">
        <v>2922</v>
      </c>
      <c r="B37" s="622"/>
      <c r="C37" s="2600" t="e">
        <f>R37</f>
        <v>#DIV/0!</v>
      </c>
      <c r="D37" s="2600"/>
      <c r="E37" s="2600"/>
      <c r="F37" s="2600"/>
      <c r="G37" s="2600"/>
      <c r="H37" s="2600"/>
      <c r="I37" s="2600"/>
      <c r="J37" s="2600"/>
      <c r="K37" s="1598"/>
      <c r="L37" s="2129"/>
      <c r="M37" s="2130"/>
      <c r="N37" s="2130"/>
      <c r="O37" s="2130"/>
      <c r="P37" s="3473" t="str">
        <f>A37</f>
        <v>估价对象XX用房的比较价格（楼面单价，元/平方米）</v>
      </c>
      <c r="Q37" s="3474"/>
      <c r="R37" s="3569" t="e">
        <f>IF(F1="售价",ROUND(AVERAGE(R36:V36),0),ROUND(AVERAGE(R36:V36),1))</f>
        <v>#DIV/0!</v>
      </c>
      <c r="S37" s="3569"/>
      <c r="T37" s="3569"/>
      <c r="U37" s="3569"/>
      <c r="V37" s="3569"/>
      <c r="W37" s="3569"/>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528</v>
      </c>
      <c r="B46" s="646"/>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2550</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2551</v>
      </c>
      <c r="C65" s="2562" t="s">
        <v>2552</v>
      </c>
      <c r="D65" s="2562" t="s">
        <v>2553</v>
      </c>
      <c r="E65" s="2562" t="s">
        <v>2554</v>
      </c>
      <c r="F65" s="2562" t="s">
        <v>2555</v>
      </c>
      <c r="G65" s="2562" t="s">
        <v>2556</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南京启迪科技新城发展有限公司：</v>
      </c>
    </row>
    <row r="4" spans="1:4" ht="37.5">
      <c r="A4" s="1776" t="str">
        <f>"受贵公司委托，我公司对"&amp;项目基本情况!K2&amp;项目基本情况!B9&amp;"进行了预评估。"</f>
        <v>受贵公司委托，我公司对江苏省南京市浦口区总部大道以北地块出让国有建设用地使用权抵押价格进行了预评估。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南京市浦口区总部大道以北地块出让国有建设用地使用权。根据《出让合同》[]，估价对象（分摊）出让国有建设用地使用权面积为77285.8平方米。根据《经济技术指标》[]，估价对象规划建筑面积为240271.9平方米。</v>
      </c>
    </row>
    <row r="7" spans="1:4" ht="93.75">
      <c r="A7" s="2828" t="s">
        <v>2741</v>
      </c>
    </row>
    <row r="8" spans="1:4" ht="18.75">
      <c r="A8" s="1779" t="s">
        <v>1905</v>
      </c>
    </row>
    <row r="9" spans="1:4" ht="56.25">
      <c r="A9" s="1781"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2022</v>
      </c>
    </row>
    <row r="11" spans="1:4" ht="18.75">
      <c r="A11" s="1765" t="str">
        <f>TEXT(项目基本情况!D3,"yyyy年m月d日;;")&amp;IF(项目基本情况!B3=项目基本情况!D3,"（评估专业人员勘察现场之日）","")</f>
        <v>2019年6月13日（评估专业人员勘察现场之日）</v>
      </c>
    </row>
    <row r="12" spans="1:4" ht="18.75">
      <c r="A12" s="1782" t="s">
        <v>2021</v>
      </c>
    </row>
    <row r="13" spans="1:4" ht="18.75">
      <c r="A13" s="1776" t="s">
        <v>2067</v>
      </c>
    </row>
    <row r="14" spans="1:4" ht="56.25">
      <c r="A14" s="1776"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根据《国有建设用地使用权出让合同》[]及附件、《北京市规划委员会关于同意XX项目的规划设计方案的规划意见复函》[]以及《建设工程规划许可证》[]，本次评估估价对象证载（地类）用途为二类居住用地。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6" t="s">
        <v>2069</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根据《出让合同》[]，估价对象（分摊）出让国有建设用地使用权面积为77285.8平方米。根据《经济技术指标》[]，估价对象规划建筑面积为240271.9平方米。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2742</v>
      </c>
    </row>
    <row r="24" spans="1:1" ht="18.75">
      <c r="A24" s="1776" t="s">
        <v>2071</v>
      </c>
    </row>
    <row r="25" spans="1:1" ht="93.75">
      <c r="A25" s="1776" t="str">
        <f>定义!C53</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2299</v>
      </c>
      <c r="C1" s="3604" t="s">
        <v>2300</v>
      </c>
      <c r="D1" s="3605"/>
      <c r="E1" s="3605"/>
      <c r="F1" s="3605"/>
      <c r="G1" s="3605"/>
      <c r="H1" s="3605"/>
      <c r="I1" s="3605"/>
      <c r="J1" s="3605"/>
      <c r="K1" s="3605"/>
      <c r="L1" s="3605"/>
      <c r="M1" s="3605"/>
      <c r="N1" s="3605"/>
      <c r="O1" s="3605"/>
      <c r="P1" s="3605"/>
      <c r="Q1" s="3605"/>
      <c r="R1" s="3605"/>
      <c r="S1" s="3606"/>
      <c r="T1" s="2219" t="s">
        <v>2301</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2915</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2914</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2913</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2926</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2912</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2911</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2303</v>
      </c>
      <c r="B17" s="2263" t="s">
        <v>2304</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601" t="s">
        <v>20</v>
      </c>
      <c r="D22" s="3602"/>
      <c r="E22" s="3602"/>
      <c r="F22" s="3602"/>
      <c r="G22" s="3602"/>
      <c r="H22" s="3602"/>
      <c r="I22" s="3602"/>
      <c r="J22" s="3602"/>
      <c r="K22" s="3602"/>
      <c r="L22" s="3602"/>
      <c r="M22" s="3602"/>
      <c r="N22" s="3602"/>
      <c r="O22" s="3602"/>
      <c r="P22" s="3602"/>
      <c r="Q22" s="3603"/>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43629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workbookViewId="0">
      <selection activeCell="AX35" sqref="AX35"/>
    </sheetView>
  </sheetViews>
  <sheetFormatPr defaultRowHeight="13.5"/>
  <cols>
    <col min="2" max="2" width="0" hidden="1" customWidth="1"/>
    <col min="5" max="9" width="0" hidden="1" customWidth="1"/>
    <col min="12" max="12" width="20.875"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2893" customFormat="1">
      <c r="A1" s="2893" t="s">
        <v>2981</v>
      </c>
      <c r="B1" s="2893" t="s">
        <v>2982</v>
      </c>
      <c r="C1" s="2893" t="s">
        <v>2983</v>
      </c>
      <c r="D1" s="2893" t="s">
        <v>2984</v>
      </c>
      <c r="E1" s="2893" t="s">
        <v>2985</v>
      </c>
      <c r="F1" s="2893" t="s">
        <v>2986</v>
      </c>
      <c r="G1" s="2893" t="s">
        <v>2987</v>
      </c>
      <c r="H1" s="2893" t="s">
        <v>2988</v>
      </c>
      <c r="I1" s="2893" t="s">
        <v>2989</v>
      </c>
      <c r="J1" s="2893" t="s">
        <v>2990</v>
      </c>
      <c r="K1" s="2893" t="s">
        <v>2991</v>
      </c>
      <c r="L1" s="2893" t="s">
        <v>2028</v>
      </c>
      <c r="M1" s="2893" t="s">
        <v>2992</v>
      </c>
      <c r="N1" s="2893" t="s">
        <v>2993</v>
      </c>
      <c r="O1" s="2893" t="s">
        <v>2994</v>
      </c>
      <c r="P1" s="2893" t="s">
        <v>2995</v>
      </c>
      <c r="Q1" s="2893" t="s">
        <v>2996</v>
      </c>
      <c r="R1" s="2893" t="s">
        <v>2997</v>
      </c>
      <c r="S1" s="2893" t="s">
        <v>2998</v>
      </c>
      <c r="T1" s="2893" t="s">
        <v>2999</v>
      </c>
      <c r="U1" s="2893" t="s">
        <v>3000</v>
      </c>
      <c r="V1" s="2893" t="s">
        <v>3001</v>
      </c>
      <c r="W1" s="2893" t="s">
        <v>3002</v>
      </c>
      <c r="X1" s="2893" t="s">
        <v>3003</v>
      </c>
      <c r="Y1" s="2893" t="s">
        <v>3004</v>
      </c>
      <c r="Z1" s="2893" t="s">
        <v>3005</v>
      </c>
      <c r="AA1" s="2893" t="s">
        <v>3006</v>
      </c>
      <c r="AB1" s="2893" t="s">
        <v>3007</v>
      </c>
      <c r="AC1" s="2893" t="s">
        <v>3008</v>
      </c>
      <c r="AD1" s="2893" t="s">
        <v>3009</v>
      </c>
      <c r="AE1" s="2893" t="s">
        <v>3010</v>
      </c>
      <c r="AF1" s="2893" t="s">
        <v>3011</v>
      </c>
      <c r="AG1" s="2893" t="s">
        <v>3012</v>
      </c>
      <c r="AH1" s="2893" t="s">
        <v>3013</v>
      </c>
      <c r="AI1" s="2893" t="s">
        <v>3014</v>
      </c>
      <c r="AJ1" s="2893" t="s">
        <v>3015</v>
      </c>
      <c r="AK1" s="2893" t="s">
        <v>3016</v>
      </c>
      <c r="AL1" s="2893" t="s">
        <v>3017</v>
      </c>
      <c r="AM1" s="2893" t="s">
        <v>3018</v>
      </c>
      <c r="AN1" s="2893" t="s">
        <v>3019</v>
      </c>
      <c r="AO1" s="2893" t="s">
        <v>3020</v>
      </c>
      <c r="AP1" s="2893" t="s">
        <v>3021</v>
      </c>
      <c r="AQ1" s="2893" t="s">
        <v>3022</v>
      </c>
      <c r="AR1" s="2893" t="s">
        <v>3023</v>
      </c>
      <c r="AS1" s="2893" t="s">
        <v>3024</v>
      </c>
    </row>
    <row r="2" spans="1:45" s="2893" customFormat="1">
      <c r="A2" s="2893" t="s">
        <v>3025</v>
      </c>
      <c r="B2" s="2893" t="s">
        <v>3026</v>
      </c>
      <c r="C2" s="2893" t="s">
        <v>3027</v>
      </c>
      <c r="D2" s="2893" t="s">
        <v>3028</v>
      </c>
      <c r="E2" s="2893" t="s">
        <v>2811</v>
      </c>
      <c r="F2" s="2893" t="s">
        <v>3029</v>
      </c>
      <c r="G2" s="2893" t="s">
        <v>3030</v>
      </c>
      <c r="H2" s="2893" t="s">
        <v>3031</v>
      </c>
      <c r="I2" s="2893" t="s">
        <v>3032</v>
      </c>
      <c r="J2" s="2893">
        <v>11560.74</v>
      </c>
      <c r="K2" s="2893">
        <v>27745.78</v>
      </c>
      <c r="L2" s="2893">
        <v>2.4</v>
      </c>
      <c r="M2" s="2893" t="s">
        <v>2811</v>
      </c>
      <c r="N2" s="2893" t="s">
        <v>3034</v>
      </c>
      <c r="O2" s="2893" t="s">
        <v>3035</v>
      </c>
      <c r="P2" s="2893" t="s">
        <v>2811</v>
      </c>
      <c r="Q2" s="2893" t="s">
        <v>2811</v>
      </c>
      <c r="R2" s="2893" t="s">
        <v>2811</v>
      </c>
      <c r="S2" s="2893" t="s">
        <v>2811</v>
      </c>
      <c r="T2" s="2893" t="s">
        <v>3036</v>
      </c>
      <c r="U2" s="2893" t="s">
        <v>3037</v>
      </c>
      <c r="V2" s="2893" t="s">
        <v>2811</v>
      </c>
      <c r="W2" s="2893" t="s">
        <v>3038</v>
      </c>
      <c r="X2" s="2893" t="s">
        <v>3039</v>
      </c>
      <c r="Y2" s="2893" t="s">
        <v>3040</v>
      </c>
      <c r="Z2" s="2893" t="s">
        <v>3041</v>
      </c>
      <c r="AA2" s="2893" t="s">
        <v>3041</v>
      </c>
      <c r="AB2" s="2893" t="s">
        <v>3042</v>
      </c>
      <c r="AC2" s="2893" t="s">
        <v>3043</v>
      </c>
      <c r="AD2" s="2893" t="s">
        <v>3044</v>
      </c>
      <c r="AE2" s="2893">
        <v>22500</v>
      </c>
      <c r="AF2" s="2893">
        <v>45000</v>
      </c>
      <c r="AG2" s="2893">
        <v>51000</v>
      </c>
      <c r="AH2" s="2893">
        <v>2594.9899999999998</v>
      </c>
      <c r="AI2" s="2893">
        <v>2940.99</v>
      </c>
      <c r="AJ2" s="2893">
        <v>16218.68</v>
      </c>
      <c r="AK2" s="2893">
        <v>18381.16</v>
      </c>
      <c r="AL2" s="2893" t="s">
        <v>2811</v>
      </c>
      <c r="AM2" s="2893" t="s">
        <v>2811</v>
      </c>
      <c r="AN2" s="2893">
        <v>13.33</v>
      </c>
      <c r="AO2" s="2893">
        <v>70</v>
      </c>
      <c r="AP2" s="2893" t="s">
        <v>2811</v>
      </c>
      <c r="AQ2" s="2893" t="s">
        <v>2811</v>
      </c>
      <c r="AR2" s="2893" t="s">
        <v>2811</v>
      </c>
      <c r="AS2" s="2893" t="s">
        <v>3045</v>
      </c>
    </row>
    <row r="3" spans="1:45" s="2893" customFormat="1">
      <c r="A3" s="2893" t="s">
        <v>3046</v>
      </c>
      <c r="B3" s="2893" t="s">
        <v>3026</v>
      </c>
      <c r="C3" s="2893" t="s">
        <v>3027</v>
      </c>
      <c r="D3" s="2893" t="s">
        <v>3028</v>
      </c>
      <c r="E3" s="2893" t="s">
        <v>2811</v>
      </c>
      <c r="F3" s="2893" t="s">
        <v>3047</v>
      </c>
      <c r="G3" s="2893" t="s">
        <v>3030</v>
      </c>
      <c r="H3" s="2893" t="s">
        <v>3048</v>
      </c>
      <c r="I3" s="2893" t="s">
        <v>3032</v>
      </c>
      <c r="J3" s="2893">
        <v>36292.43</v>
      </c>
      <c r="K3" s="2893">
        <v>72584.86</v>
      </c>
      <c r="L3" s="2893">
        <v>2</v>
      </c>
      <c r="M3" s="2893" t="s">
        <v>2811</v>
      </c>
      <c r="N3" s="2893" t="s">
        <v>3034</v>
      </c>
      <c r="O3" s="2893" t="s">
        <v>3049</v>
      </c>
      <c r="P3" s="2893" t="s">
        <v>2811</v>
      </c>
      <c r="Q3" s="2893" t="s">
        <v>2811</v>
      </c>
      <c r="R3" s="2893" t="s">
        <v>2811</v>
      </c>
      <c r="S3" s="2893" t="s">
        <v>2811</v>
      </c>
      <c r="T3" s="2893" t="s">
        <v>3036</v>
      </c>
      <c r="U3" s="2893" t="s">
        <v>3037</v>
      </c>
      <c r="V3" s="2893" t="s">
        <v>2811</v>
      </c>
      <c r="W3" s="2893" t="s">
        <v>3038</v>
      </c>
      <c r="X3" s="2893" t="s">
        <v>3039</v>
      </c>
      <c r="Y3" s="2893" t="s">
        <v>3040</v>
      </c>
      <c r="Z3" s="2893" t="s">
        <v>3041</v>
      </c>
      <c r="AA3" s="2893" t="s">
        <v>3041</v>
      </c>
      <c r="AB3" s="2893" t="s">
        <v>3042</v>
      </c>
      <c r="AC3" s="2893" t="s">
        <v>3043</v>
      </c>
      <c r="AD3" s="2893" t="s">
        <v>3050</v>
      </c>
      <c r="AE3" s="2893">
        <v>59500</v>
      </c>
      <c r="AF3" s="2893">
        <v>119000</v>
      </c>
      <c r="AG3" s="2893">
        <v>145000</v>
      </c>
      <c r="AH3" s="2893">
        <v>2185.9499999999998</v>
      </c>
      <c r="AI3" s="2893">
        <v>2663.55</v>
      </c>
      <c r="AJ3" s="2893">
        <v>16394.599999999999</v>
      </c>
      <c r="AK3" s="2893">
        <v>19976.61</v>
      </c>
      <c r="AL3" s="2893" t="s">
        <v>2811</v>
      </c>
      <c r="AM3" s="2893" t="s">
        <v>2811</v>
      </c>
      <c r="AN3" s="2893">
        <v>21.85</v>
      </c>
      <c r="AO3" s="2893">
        <v>70</v>
      </c>
      <c r="AP3" s="2893" t="s">
        <v>2811</v>
      </c>
      <c r="AQ3" s="2893" t="s">
        <v>2811</v>
      </c>
      <c r="AR3" s="2893" t="s">
        <v>2811</v>
      </c>
      <c r="AS3" s="2893" t="s">
        <v>3045</v>
      </c>
    </row>
    <row r="4" spans="1:45" s="2893" customFormat="1">
      <c r="A4" s="2893" t="s">
        <v>3058</v>
      </c>
      <c r="B4" s="2893" t="s">
        <v>3026</v>
      </c>
      <c r="C4" s="2893" t="s">
        <v>3027</v>
      </c>
      <c r="D4" s="2893" t="s">
        <v>3028</v>
      </c>
      <c r="E4" s="2893" t="s">
        <v>2811</v>
      </c>
      <c r="F4" s="2893" t="s">
        <v>3059</v>
      </c>
      <c r="G4" s="2893" t="s">
        <v>3030</v>
      </c>
      <c r="H4" s="2893" t="s">
        <v>3060</v>
      </c>
      <c r="I4" s="2893" t="s">
        <v>3032</v>
      </c>
      <c r="J4" s="2893">
        <v>41149.199999999997</v>
      </c>
      <c r="K4" s="2893">
        <v>102873</v>
      </c>
      <c r="L4" s="2893">
        <v>2.5</v>
      </c>
      <c r="M4" s="2893" t="s">
        <v>2811</v>
      </c>
      <c r="N4" s="2893" t="s">
        <v>3034</v>
      </c>
      <c r="O4" s="2893" t="s">
        <v>3062</v>
      </c>
      <c r="P4" s="2893" t="s">
        <v>2811</v>
      </c>
      <c r="Q4" s="2893" t="s">
        <v>2811</v>
      </c>
      <c r="R4" s="2893" t="s">
        <v>2811</v>
      </c>
      <c r="S4" s="2893" t="s">
        <v>2811</v>
      </c>
      <c r="T4" s="2893" t="s">
        <v>3036</v>
      </c>
      <c r="U4" s="2893" t="s">
        <v>3037</v>
      </c>
      <c r="V4" s="2893" t="s">
        <v>2811</v>
      </c>
      <c r="W4" s="2893" t="s">
        <v>3038</v>
      </c>
      <c r="X4" s="2893" t="s">
        <v>3039</v>
      </c>
      <c r="Y4" s="2893" t="s">
        <v>3040</v>
      </c>
      <c r="Z4" s="2893" t="s">
        <v>3041</v>
      </c>
      <c r="AA4" s="2893" t="s">
        <v>3041</v>
      </c>
      <c r="AB4" s="2893" t="s">
        <v>3042</v>
      </c>
      <c r="AC4" s="2893" t="s">
        <v>3043</v>
      </c>
      <c r="AD4" s="2893" t="s">
        <v>3063</v>
      </c>
      <c r="AE4" s="2893">
        <v>84500</v>
      </c>
      <c r="AF4" s="2893">
        <v>169000</v>
      </c>
      <c r="AG4" s="2893">
        <v>214000</v>
      </c>
      <c r="AH4" s="2893">
        <v>2738</v>
      </c>
      <c r="AI4" s="2893">
        <v>3467.06</v>
      </c>
      <c r="AJ4" s="2893">
        <v>16428.02</v>
      </c>
      <c r="AK4" s="2893">
        <v>20802.34</v>
      </c>
      <c r="AL4" s="2893" t="s">
        <v>2811</v>
      </c>
      <c r="AM4" s="2893" t="s">
        <v>2811</v>
      </c>
      <c r="AN4" s="2893">
        <v>26.63</v>
      </c>
      <c r="AO4" s="2893">
        <v>70</v>
      </c>
      <c r="AP4" s="2893" t="s">
        <v>2811</v>
      </c>
      <c r="AQ4" s="2893" t="s">
        <v>2811</v>
      </c>
      <c r="AR4" s="2893" t="s">
        <v>2811</v>
      </c>
      <c r="AS4" s="2893" t="s">
        <v>3064</v>
      </c>
    </row>
    <row r="6" spans="1:45" s="2893" customFormat="1">
      <c r="A6" s="2893" t="s">
        <v>2981</v>
      </c>
      <c r="B6" s="2893" t="s">
        <v>2982</v>
      </c>
      <c r="C6" s="2893" t="s">
        <v>2983</v>
      </c>
      <c r="D6" s="2893" t="s">
        <v>2984</v>
      </c>
      <c r="E6" s="2893" t="s">
        <v>2985</v>
      </c>
      <c r="F6" s="2893" t="s">
        <v>2986</v>
      </c>
      <c r="G6" s="2893" t="s">
        <v>2987</v>
      </c>
      <c r="H6" s="2893" t="s">
        <v>2988</v>
      </c>
      <c r="I6" s="2893" t="s">
        <v>2989</v>
      </c>
      <c r="J6" s="2893" t="s">
        <v>2990</v>
      </c>
      <c r="K6" s="2893" t="s">
        <v>2991</v>
      </c>
      <c r="L6" s="2893" t="s">
        <v>2028</v>
      </c>
      <c r="M6" s="2893" t="s">
        <v>2992</v>
      </c>
      <c r="N6" s="2893" t="s">
        <v>2993</v>
      </c>
      <c r="O6" s="2893" t="s">
        <v>2994</v>
      </c>
      <c r="P6" s="2893" t="s">
        <v>2995</v>
      </c>
      <c r="Q6" s="2893" t="s">
        <v>2996</v>
      </c>
      <c r="R6" s="2893" t="s">
        <v>2997</v>
      </c>
      <c r="S6" s="2893" t="s">
        <v>2998</v>
      </c>
      <c r="T6" s="2893" t="s">
        <v>2999</v>
      </c>
      <c r="U6" s="2893" t="s">
        <v>3000</v>
      </c>
      <c r="V6" s="2893" t="s">
        <v>3001</v>
      </c>
      <c r="W6" s="2893" t="s">
        <v>3002</v>
      </c>
      <c r="X6" s="2893" t="s">
        <v>3003</v>
      </c>
      <c r="Y6" s="2893" t="s">
        <v>3004</v>
      </c>
      <c r="Z6" s="2893" t="s">
        <v>3005</v>
      </c>
      <c r="AA6" s="2893" t="s">
        <v>3006</v>
      </c>
      <c r="AB6" s="2893" t="s">
        <v>3007</v>
      </c>
      <c r="AC6" s="2893" t="s">
        <v>3008</v>
      </c>
      <c r="AD6" s="2893" t="s">
        <v>3009</v>
      </c>
      <c r="AE6" s="2893" t="s">
        <v>3010</v>
      </c>
      <c r="AF6" s="2893" t="s">
        <v>3011</v>
      </c>
      <c r="AG6" s="2893" t="s">
        <v>3012</v>
      </c>
      <c r="AH6" s="2893" t="s">
        <v>3013</v>
      </c>
      <c r="AI6" s="2893" t="s">
        <v>3014</v>
      </c>
      <c r="AJ6" s="2893" t="s">
        <v>3015</v>
      </c>
      <c r="AK6" s="2893" t="s">
        <v>3016</v>
      </c>
      <c r="AL6" s="2893" t="s">
        <v>3017</v>
      </c>
      <c r="AM6" s="2893" t="s">
        <v>3018</v>
      </c>
      <c r="AN6" s="2893" t="s">
        <v>3019</v>
      </c>
      <c r="AO6" s="2893" t="s">
        <v>3020</v>
      </c>
      <c r="AP6" s="2893" t="s">
        <v>3021</v>
      </c>
      <c r="AQ6" s="2893" t="s">
        <v>3022</v>
      </c>
      <c r="AR6" s="2893" t="s">
        <v>3023</v>
      </c>
      <c r="AS6" s="2893" t="s">
        <v>3024</v>
      </c>
    </row>
    <row r="7" spans="1:45" s="2893" customFormat="1">
      <c r="A7" s="2893" t="s">
        <v>3025</v>
      </c>
      <c r="B7" s="2893" t="s">
        <v>3026</v>
      </c>
      <c r="C7" s="2893" t="s">
        <v>3027</v>
      </c>
      <c r="D7" s="2893" t="s">
        <v>3028</v>
      </c>
      <c r="E7" s="2893" t="s">
        <v>2811</v>
      </c>
      <c r="F7" s="2893" t="s">
        <v>3029</v>
      </c>
      <c r="G7" s="2893" t="s">
        <v>3030</v>
      </c>
      <c r="H7" s="2893" t="s">
        <v>3031</v>
      </c>
      <c r="I7" s="2893" t="s">
        <v>3032</v>
      </c>
      <c r="J7" s="2893">
        <v>11560.74</v>
      </c>
      <c r="K7" s="2893">
        <v>27745.78</v>
      </c>
      <c r="L7" s="2893">
        <v>2.4</v>
      </c>
      <c r="M7" s="2893" t="s">
        <v>2811</v>
      </c>
      <c r="N7" s="2893" t="s">
        <v>3034</v>
      </c>
      <c r="O7" s="2893" t="s">
        <v>3035</v>
      </c>
      <c r="P7" s="2893" t="s">
        <v>2811</v>
      </c>
      <c r="Q7" s="2893" t="s">
        <v>2811</v>
      </c>
      <c r="R7" s="2893" t="s">
        <v>2811</v>
      </c>
      <c r="S7" s="2893" t="s">
        <v>2811</v>
      </c>
      <c r="T7" s="2893" t="s">
        <v>3036</v>
      </c>
      <c r="U7" s="2893" t="s">
        <v>3037</v>
      </c>
      <c r="V7" s="2893" t="s">
        <v>2811</v>
      </c>
      <c r="W7" s="2893" t="s">
        <v>3038</v>
      </c>
      <c r="X7" s="2893" t="s">
        <v>3039</v>
      </c>
      <c r="Y7" s="2893" t="s">
        <v>3040</v>
      </c>
      <c r="Z7" s="2893" t="s">
        <v>3041</v>
      </c>
      <c r="AA7" s="2893" t="s">
        <v>3041</v>
      </c>
      <c r="AB7" s="2893" t="s">
        <v>3042</v>
      </c>
      <c r="AC7" s="2893" t="s">
        <v>3043</v>
      </c>
      <c r="AD7" s="2893" t="s">
        <v>3044</v>
      </c>
      <c r="AE7" s="2893">
        <v>22500</v>
      </c>
      <c r="AF7" s="2893">
        <v>45000</v>
      </c>
      <c r="AG7" s="2893">
        <v>51000</v>
      </c>
      <c r="AH7" s="2893">
        <v>2594.9899999999998</v>
      </c>
      <c r="AI7" s="2893">
        <v>2940.99</v>
      </c>
      <c r="AJ7" s="2893">
        <v>16218.68</v>
      </c>
      <c r="AK7" s="2893">
        <v>18381.16</v>
      </c>
      <c r="AL7" s="2893" t="s">
        <v>2811</v>
      </c>
      <c r="AM7" s="2893" t="s">
        <v>2811</v>
      </c>
      <c r="AN7" s="2893">
        <v>13.33</v>
      </c>
      <c r="AO7" s="2893">
        <v>70</v>
      </c>
      <c r="AP7" s="2893" t="s">
        <v>2811</v>
      </c>
      <c r="AQ7" s="2893" t="s">
        <v>2811</v>
      </c>
      <c r="AR7" s="2893" t="s">
        <v>2811</v>
      </c>
      <c r="AS7" s="2893" t="s">
        <v>3045</v>
      </c>
    </row>
    <row r="8" spans="1:45" s="2893" customFormat="1">
      <c r="A8" s="2893" t="s">
        <v>3046</v>
      </c>
      <c r="B8" s="2893" t="s">
        <v>3026</v>
      </c>
      <c r="C8" s="2893" t="s">
        <v>3027</v>
      </c>
      <c r="D8" s="2893" t="s">
        <v>3028</v>
      </c>
      <c r="E8" s="2893" t="s">
        <v>2811</v>
      </c>
      <c r="F8" s="2893" t="s">
        <v>3047</v>
      </c>
      <c r="G8" s="2893" t="s">
        <v>3030</v>
      </c>
      <c r="H8" s="2893" t="s">
        <v>3048</v>
      </c>
      <c r="I8" s="2893" t="s">
        <v>3032</v>
      </c>
      <c r="J8" s="2893">
        <v>36292.43</v>
      </c>
      <c r="K8" s="2893">
        <v>72584.86</v>
      </c>
      <c r="L8" s="2893">
        <v>2</v>
      </c>
      <c r="M8" s="2893" t="s">
        <v>2811</v>
      </c>
      <c r="N8" s="2893" t="s">
        <v>3034</v>
      </c>
      <c r="O8" s="2893" t="s">
        <v>3049</v>
      </c>
      <c r="P8" s="2893" t="s">
        <v>2811</v>
      </c>
      <c r="Q8" s="2893" t="s">
        <v>2811</v>
      </c>
      <c r="R8" s="2893" t="s">
        <v>2811</v>
      </c>
      <c r="S8" s="2893" t="s">
        <v>2811</v>
      </c>
      <c r="T8" s="2893" t="s">
        <v>3036</v>
      </c>
      <c r="U8" s="2893" t="s">
        <v>3037</v>
      </c>
      <c r="V8" s="2893" t="s">
        <v>2811</v>
      </c>
      <c r="W8" s="2893" t="s">
        <v>3038</v>
      </c>
      <c r="X8" s="2893" t="s">
        <v>3039</v>
      </c>
      <c r="Y8" s="2893" t="s">
        <v>3040</v>
      </c>
      <c r="Z8" s="2893" t="s">
        <v>3041</v>
      </c>
      <c r="AA8" s="2893" t="s">
        <v>3041</v>
      </c>
      <c r="AB8" s="2893" t="s">
        <v>3042</v>
      </c>
      <c r="AC8" s="2893" t="s">
        <v>3043</v>
      </c>
      <c r="AD8" s="2893" t="s">
        <v>3050</v>
      </c>
      <c r="AE8" s="2893">
        <v>59500</v>
      </c>
      <c r="AF8" s="2893">
        <v>119000</v>
      </c>
      <c r="AG8" s="2893">
        <v>145000</v>
      </c>
      <c r="AH8" s="2893">
        <v>2185.9499999999998</v>
      </c>
      <c r="AI8" s="2893">
        <v>2663.55</v>
      </c>
      <c r="AJ8" s="2893">
        <v>16394.599999999999</v>
      </c>
      <c r="AK8" s="2893">
        <v>19976.61</v>
      </c>
      <c r="AL8" s="2893" t="s">
        <v>2811</v>
      </c>
      <c r="AM8" s="2893" t="s">
        <v>2811</v>
      </c>
      <c r="AN8" s="2893">
        <v>21.85</v>
      </c>
      <c r="AO8" s="2893">
        <v>70</v>
      </c>
      <c r="AP8" s="2893" t="s">
        <v>2811</v>
      </c>
      <c r="AQ8" s="2893" t="s">
        <v>2811</v>
      </c>
      <c r="AR8" s="2893" t="s">
        <v>2811</v>
      </c>
      <c r="AS8" s="2893" t="s">
        <v>3045</v>
      </c>
    </row>
    <row r="9" spans="1:45" s="2893" customFormat="1">
      <c r="A9" s="2893" t="s">
        <v>3051</v>
      </c>
      <c r="B9" s="2893" t="s">
        <v>3026</v>
      </c>
      <c r="C9" s="2893" t="s">
        <v>3027</v>
      </c>
      <c r="D9" s="2893" t="s">
        <v>3028</v>
      </c>
      <c r="E9" s="2893" t="s">
        <v>2811</v>
      </c>
      <c r="F9" s="2893" t="s">
        <v>3052</v>
      </c>
      <c r="G9" s="2893" t="s">
        <v>3030</v>
      </c>
      <c r="H9" s="2893" t="s">
        <v>3053</v>
      </c>
      <c r="I9" s="2893" t="s">
        <v>3032</v>
      </c>
      <c r="J9" s="2893">
        <v>69782.75</v>
      </c>
      <c r="K9" s="2893">
        <v>104674.1</v>
      </c>
      <c r="L9" s="2893" t="s">
        <v>3054</v>
      </c>
      <c r="M9" s="2893" t="s">
        <v>2811</v>
      </c>
      <c r="N9" s="2893" t="s">
        <v>3055</v>
      </c>
      <c r="O9" s="2893" t="s">
        <v>3056</v>
      </c>
      <c r="P9" s="2893" t="s">
        <v>2811</v>
      </c>
      <c r="Q9" s="2893" t="s">
        <v>2811</v>
      </c>
      <c r="R9" s="2893" t="s">
        <v>2811</v>
      </c>
      <c r="S9" s="2893" t="s">
        <v>2811</v>
      </c>
      <c r="T9" s="2893" t="s">
        <v>3036</v>
      </c>
      <c r="U9" s="2893" t="s">
        <v>3037</v>
      </c>
      <c r="V9" s="2893" t="s">
        <v>2811</v>
      </c>
      <c r="W9" s="2893" t="s">
        <v>3038</v>
      </c>
      <c r="X9" s="2893" t="s">
        <v>3039</v>
      </c>
      <c r="Y9" s="2893" t="s">
        <v>3040</v>
      </c>
      <c r="Z9" s="2893" t="s">
        <v>3041</v>
      </c>
      <c r="AA9" s="2893" t="s">
        <v>3041</v>
      </c>
      <c r="AB9" s="2893" t="s">
        <v>3042</v>
      </c>
      <c r="AC9" s="2893" t="s">
        <v>3043</v>
      </c>
      <c r="AD9" s="2893" t="s">
        <v>3057</v>
      </c>
      <c r="AE9" s="2893">
        <v>86000</v>
      </c>
      <c r="AF9" s="2893">
        <v>172000</v>
      </c>
      <c r="AG9" s="2893">
        <v>230000</v>
      </c>
      <c r="AH9" s="2893">
        <v>1643.2</v>
      </c>
      <c r="AI9" s="2893">
        <v>2197.3000000000002</v>
      </c>
      <c r="AJ9" s="2893">
        <v>16431.95</v>
      </c>
      <c r="AK9" s="2893">
        <v>21972.95</v>
      </c>
      <c r="AL9" s="2893" t="s">
        <v>2811</v>
      </c>
      <c r="AM9" s="2893" t="s">
        <v>2811</v>
      </c>
      <c r="AN9" s="2893">
        <v>33.72</v>
      </c>
      <c r="AO9" s="2893">
        <v>70</v>
      </c>
      <c r="AP9" s="2893" t="s">
        <v>2811</v>
      </c>
      <c r="AQ9" s="2893" t="s">
        <v>2811</v>
      </c>
      <c r="AR9" s="2893" t="s">
        <v>2811</v>
      </c>
      <c r="AS9" s="2893" t="s">
        <v>3045</v>
      </c>
    </row>
    <row r="10" spans="1:45" s="2893" customFormat="1">
      <c r="A10" s="2893" t="s">
        <v>3058</v>
      </c>
      <c r="B10" s="2893" t="s">
        <v>3026</v>
      </c>
      <c r="C10" s="2893" t="s">
        <v>3027</v>
      </c>
      <c r="D10" s="2893" t="s">
        <v>3028</v>
      </c>
      <c r="E10" s="2893" t="s">
        <v>2811</v>
      </c>
      <c r="F10" s="2893" t="s">
        <v>3059</v>
      </c>
      <c r="G10" s="2893" t="s">
        <v>3030</v>
      </c>
      <c r="H10" s="2893" t="s">
        <v>3060</v>
      </c>
      <c r="I10" s="2893" t="s">
        <v>3032</v>
      </c>
      <c r="J10" s="2893">
        <v>41149.199999999997</v>
      </c>
      <c r="K10" s="2893">
        <v>102873</v>
      </c>
      <c r="L10" s="2893">
        <v>2.5</v>
      </c>
      <c r="M10" s="2893" t="s">
        <v>2811</v>
      </c>
      <c r="N10" s="2893" t="s">
        <v>3034</v>
      </c>
      <c r="O10" s="2893" t="s">
        <v>3062</v>
      </c>
      <c r="P10" s="2893" t="s">
        <v>2811</v>
      </c>
      <c r="Q10" s="2893" t="s">
        <v>2811</v>
      </c>
      <c r="R10" s="2893" t="s">
        <v>2811</v>
      </c>
      <c r="S10" s="2893" t="s">
        <v>2811</v>
      </c>
      <c r="T10" s="2893" t="s">
        <v>3036</v>
      </c>
      <c r="U10" s="2893" t="s">
        <v>3037</v>
      </c>
      <c r="V10" s="2893" t="s">
        <v>2811</v>
      </c>
      <c r="W10" s="2893" t="s">
        <v>3038</v>
      </c>
      <c r="X10" s="2893" t="s">
        <v>3039</v>
      </c>
      <c r="Y10" s="2893" t="s">
        <v>3040</v>
      </c>
      <c r="Z10" s="2893" t="s">
        <v>3041</v>
      </c>
      <c r="AA10" s="2893" t="s">
        <v>3041</v>
      </c>
      <c r="AB10" s="2893" t="s">
        <v>3042</v>
      </c>
      <c r="AC10" s="2893" t="s">
        <v>3043</v>
      </c>
      <c r="AD10" s="2893" t="s">
        <v>3063</v>
      </c>
      <c r="AE10" s="2893">
        <v>84500</v>
      </c>
      <c r="AF10" s="2893">
        <v>169000</v>
      </c>
      <c r="AG10" s="2893">
        <v>214000</v>
      </c>
      <c r="AH10" s="2893">
        <v>2738</v>
      </c>
      <c r="AI10" s="2893">
        <v>3467.06</v>
      </c>
      <c r="AJ10" s="2893">
        <v>16428.02</v>
      </c>
      <c r="AK10" s="2893">
        <v>20802.34</v>
      </c>
      <c r="AL10" s="2893" t="s">
        <v>2811</v>
      </c>
      <c r="AM10" s="2893" t="s">
        <v>2811</v>
      </c>
      <c r="AN10" s="2893">
        <v>26.63</v>
      </c>
      <c r="AO10" s="2893">
        <v>70</v>
      </c>
      <c r="AP10" s="2893" t="s">
        <v>2811</v>
      </c>
      <c r="AQ10" s="2893" t="s">
        <v>2811</v>
      </c>
      <c r="AR10" s="2893" t="s">
        <v>2811</v>
      </c>
      <c r="AS10" s="2893" t="s">
        <v>3064</v>
      </c>
    </row>
    <row r="11" spans="1:45" s="2893" customFormat="1">
      <c r="A11" s="2893" t="s">
        <v>3065</v>
      </c>
      <c r="B11" s="2893" t="s">
        <v>3026</v>
      </c>
      <c r="C11" s="2893" t="s">
        <v>3066</v>
      </c>
      <c r="D11" s="2893" t="s">
        <v>3028</v>
      </c>
      <c r="E11" s="2893" t="s">
        <v>2811</v>
      </c>
      <c r="F11" s="2893" t="s">
        <v>3067</v>
      </c>
      <c r="G11" s="2893" t="s">
        <v>3030</v>
      </c>
      <c r="H11" s="2893" t="s">
        <v>3068</v>
      </c>
      <c r="I11" s="2893" t="s">
        <v>3069</v>
      </c>
      <c r="J11" s="2893">
        <v>104378.4</v>
      </c>
      <c r="K11" s="2893">
        <v>345492.5</v>
      </c>
      <c r="L11" s="2893" t="s">
        <v>3070</v>
      </c>
      <c r="M11" s="2893" t="s">
        <v>2811</v>
      </c>
      <c r="N11" s="2893" t="s">
        <v>3071</v>
      </c>
      <c r="O11" s="2893" t="s">
        <v>3071</v>
      </c>
      <c r="P11" s="2893" t="s">
        <v>2811</v>
      </c>
      <c r="Q11" s="2893" t="s">
        <v>2811</v>
      </c>
      <c r="R11" s="2893" t="s">
        <v>2811</v>
      </c>
      <c r="S11" s="2893" t="s">
        <v>2811</v>
      </c>
      <c r="T11" s="2893" t="s">
        <v>3036</v>
      </c>
      <c r="U11" s="2893" t="s">
        <v>3037</v>
      </c>
      <c r="V11" s="2893" t="s">
        <v>2811</v>
      </c>
      <c r="W11" s="2893" t="s">
        <v>3038</v>
      </c>
      <c r="X11" s="2893" t="s">
        <v>3072</v>
      </c>
      <c r="Y11" s="2893" t="s">
        <v>3073</v>
      </c>
      <c r="Z11" s="2893" t="s">
        <v>3074</v>
      </c>
      <c r="AA11" s="2893" t="s">
        <v>3074</v>
      </c>
      <c r="AB11" s="2893" t="s">
        <v>3075</v>
      </c>
      <c r="AC11" s="2893" t="s">
        <v>3043</v>
      </c>
      <c r="AD11" s="2893" t="s">
        <v>3076</v>
      </c>
      <c r="AE11" s="2893">
        <v>182500</v>
      </c>
      <c r="AF11" s="2893">
        <v>365000</v>
      </c>
      <c r="AG11" s="2893">
        <v>365000</v>
      </c>
      <c r="AH11" s="2893">
        <v>2331.2600000000002</v>
      </c>
      <c r="AI11" s="2893">
        <v>2331.2600000000002</v>
      </c>
      <c r="AJ11" s="2893">
        <v>10564.62</v>
      </c>
      <c r="AK11" s="2893">
        <v>10564.62</v>
      </c>
      <c r="AL11" s="2893" t="s">
        <v>2811</v>
      </c>
      <c r="AM11" s="2893" t="s">
        <v>2811</v>
      </c>
      <c r="AN11" s="2893">
        <v>0</v>
      </c>
      <c r="AO11" s="2893" t="s">
        <v>3077</v>
      </c>
      <c r="AP11" s="2893" t="s">
        <v>2811</v>
      </c>
      <c r="AQ11" s="2893" t="s">
        <v>2811</v>
      </c>
      <c r="AR11" s="2893" t="s">
        <v>2811</v>
      </c>
      <c r="AS11" s="2893" t="s">
        <v>3078</v>
      </c>
    </row>
    <row r="12" spans="1:45" s="2893" customFormat="1">
      <c r="A12" s="2893" t="s">
        <v>3079</v>
      </c>
      <c r="B12" s="2893" t="s">
        <v>3026</v>
      </c>
      <c r="C12" s="2893" t="s">
        <v>3066</v>
      </c>
      <c r="D12" s="2893" t="s">
        <v>3028</v>
      </c>
      <c r="E12" s="2893" t="s">
        <v>2811</v>
      </c>
      <c r="F12" s="2893" t="s">
        <v>3079</v>
      </c>
      <c r="G12" s="2893" t="s">
        <v>3030</v>
      </c>
      <c r="H12" s="2893" t="s">
        <v>3080</v>
      </c>
      <c r="I12" s="2893" t="s">
        <v>3081</v>
      </c>
      <c r="J12" s="2893">
        <v>7232.43</v>
      </c>
      <c r="K12" s="2893">
        <v>18081.080000000002</v>
      </c>
      <c r="L12" s="2893" t="s">
        <v>3082</v>
      </c>
      <c r="M12" s="2893" t="s">
        <v>2811</v>
      </c>
      <c r="N12" s="2893" t="s">
        <v>3083</v>
      </c>
      <c r="O12" s="2893" t="s">
        <v>3049</v>
      </c>
      <c r="P12" s="2893" t="s">
        <v>2811</v>
      </c>
      <c r="Q12" s="2893" t="s">
        <v>2811</v>
      </c>
      <c r="R12" s="2893" t="s">
        <v>2811</v>
      </c>
      <c r="S12" s="2893" t="s">
        <v>2811</v>
      </c>
      <c r="T12" s="2893" t="s">
        <v>3036</v>
      </c>
      <c r="U12" s="2893" t="s">
        <v>3036</v>
      </c>
      <c r="V12" s="2893" t="s">
        <v>2811</v>
      </c>
      <c r="W12" s="2893" t="s">
        <v>3038</v>
      </c>
      <c r="X12" s="2893" t="s">
        <v>3084</v>
      </c>
      <c r="Y12" s="2893" t="s">
        <v>3085</v>
      </c>
      <c r="Z12" s="2893" t="s">
        <v>3086</v>
      </c>
      <c r="AA12" s="2893" t="s">
        <v>3086</v>
      </c>
      <c r="AB12" s="2893" t="s">
        <v>3087</v>
      </c>
      <c r="AC12" s="2893" t="s">
        <v>3043</v>
      </c>
      <c r="AD12" s="2893" t="s">
        <v>3088</v>
      </c>
      <c r="AE12" s="2893">
        <v>3800</v>
      </c>
      <c r="AF12" s="2893">
        <v>19000</v>
      </c>
      <c r="AG12" s="2893">
        <v>28000</v>
      </c>
      <c r="AH12" s="2893">
        <v>1751.37</v>
      </c>
      <c r="AI12" s="2893">
        <v>2580.9699999999998</v>
      </c>
      <c r="AJ12" s="2893">
        <v>10508.22</v>
      </c>
      <c r="AK12" s="2893">
        <v>15485.79</v>
      </c>
      <c r="AL12" s="2893" t="s">
        <v>2811</v>
      </c>
      <c r="AM12" s="2893" t="s">
        <v>2811</v>
      </c>
      <c r="AN12" s="2893">
        <v>47.37</v>
      </c>
      <c r="AO12" s="2893" t="s">
        <v>3089</v>
      </c>
      <c r="AP12" s="2893" t="s">
        <v>2811</v>
      </c>
      <c r="AQ12" s="2893" t="s">
        <v>2811</v>
      </c>
      <c r="AR12" s="2893" t="s">
        <v>2811</v>
      </c>
      <c r="AS12" s="2893" t="s">
        <v>3078</v>
      </c>
    </row>
    <row r="13" spans="1:45" s="2893" customFormat="1">
      <c r="A13" s="2893" t="s">
        <v>3090</v>
      </c>
      <c r="B13" s="2893" t="s">
        <v>3026</v>
      </c>
      <c r="C13" s="2893" t="s">
        <v>3027</v>
      </c>
      <c r="D13" s="2893" t="s">
        <v>3028</v>
      </c>
      <c r="E13" s="2893" t="s">
        <v>2811</v>
      </c>
      <c r="F13" s="2893" t="s">
        <v>3091</v>
      </c>
      <c r="G13" s="2893" t="s">
        <v>3030</v>
      </c>
      <c r="H13" s="2893" t="s">
        <v>3092</v>
      </c>
      <c r="I13" s="2893" t="s">
        <v>3093</v>
      </c>
      <c r="J13" s="2893">
        <v>47787.42</v>
      </c>
      <c r="K13" s="2893">
        <v>119468.5</v>
      </c>
      <c r="L13" s="2893" t="s">
        <v>3094</v>
      </c>
      <c r="M13" s="2893" t="s">
        <v>2811</v>
      </c>
      <c r="N13" s="2893" t="s">
        <v>3095</v>
      </c>
      <c r="O13" s="2893">
        <v>0</v>
      </c>
      <c r="P13" s="2893" t="s">
        <v>2811</v>
      </c>
      <c r="Q13" s="2893" t="s">
        <v>2811</v>
      </c>
      <c r="R13" s="2893" t="s">
        <v>2811</v>
      </c>
      <c r="S13" s="2893" t="s">
        <v>2811</v>
      </c>
      <c r="T13" s="2893" t="s">
        <v>3096</v>
      </c>
      <c r="U13" s="2893" t="s">
        <v>3096</v>
      </c>
      <c r="V13" s="2893" t="s">
        <v>2811</v>
      </c>
      <c r="W13" s="2893" t="s">
        <v>3038</v>
      </c>
      <c r="X13" s="2893" t="s">
        <v>3097</v>
      </c>
      <c r="Y13" s="2893" t="s">
        <v>3098</v>
      </c>
      <c r="Z13" s="2893" t="s">
        <v>3099</v>
      </c>
      <c r="AA13" s="2893" t="s">
        <v>3099</v>
      </c>
      <c r="AB13" s="2893" t="s">
        <v>3100</v>
      </c>
      <c r="AC13" s="2893" t="s">
        <v>3043</v>
      </c>
      <c r="AD13" s="2893" t="s">
        <v>3101</v>
      </c>
      <c r="AE13" s="2893">
        <v>5200</v>
      </c>
      <c r="AF13" s="2893">
        <v>26000</v>
      </c>
      <c r="AG13" s="2893">
        <v>26000</v>
      </c>
      <c r="AH13" s="2893">
        <v>362.72</v>
      </c>
      <c r="AI13" s="2893">
        <v>362.72</v>
      </c>
      <c r="AJ13" s="2893">
        <v>2176.3000000000002</v>
      </c>
      <c r="AK13" s="2893">
        <v>2176.3000000000002</v>
      </c>
      <c r="AL13" s="2893" t="s">
        <v>2811</v>
      </c>
      <c r="AM13" s="2893" t="s">
        <v>2811</v>
      </c>
      <c r="AN13" s="2893">
        <v>0</v>
      </c>
      <c r="AO13" s="2893">
        <v>70</v>
      </c>
      <c r="AP13" s="2893" t="s">
        <v>2811</v>
      </c>
      <c r="AQ13" s="2893" t="s">
        <v>2811</v>
      </c>
      <c r="AR13" s="2893" t="s">
        <v>2811</v>
      </c>
      <c r="AS13" s="2893" t="s">
        <v>3102</v>
      </c>
    </row>
    <row r="14" spans="1:45" s="2893" customFormat="1">
      <c r="A14" s="2893" t="s">
        <v>3103</v>
      </c>
      <c r="B14" s="2893" t="s">
        <v>3026</v>
      </c>
      <c r="C14" s="2893" t="s">
        <v>3066</v>
      </c>
      <c r="D14" s="2893" t="s">
        <v>3028</v>
      </c>
      <c r="E14" s="2893" t="s">
        <v>2811</v>
      </c>
      <c r="F14" s="2893" t="s">
        <v>3104</v>
      </c>
      <c r="G14" s="2893" t="s">
        <v>3030</v>
      </c>
      <c r="H14" s="2893" t="s">
        <v>3105</v>
      </c>
      <c r="I14" s="2893" t="s">
        <v>3106</v>
      </c>
      <c r="J14" s="2893">
        <v>51749.5</v>
      </c>
      <c r="K14" s="2893">
        <v>110743.9</v>
      </c>
      <c r="L14" s="2893" t="s">
        <v>3107</v>
      </c>
      <c r="M14" s="2893" t="s">
        <v>2811</v>
      </c>
      <c r="N14" s="2893">
        <v>0</v>
      </c>
      <c r="O14" s="2893">
        <v>0</v>
      </c>
      <c r="P14" s="2893" t="s">
        <v>2811</v>
      </c>
      <c r="Q14" s="2893" t="s">
        <v>2811</v>
      </c>
      <c r="R14" s="2893" t="s">
        <v>2811</v>
      </c>
      <c r="S14" s="2893" t="s">
        <v>2811</v>
      </c>
      <c r="T14" s="2893" t="s">
        <v>2811</v>
      </c>
      <c r="U14" s="2893" t="s">
        <v>2811</v>
      </c>
      <c r="V14" s="2893" t="s">
        <v>2811</v>
      </c>
      <c r="W14" s="2893" t="s">
        <v>3038</v>
      </c>
      <c r="X14" s="2893" t="s">
        <v>3108</v>
      </c>
      <c r="Y14" s="2893" t="s">
        <v>3109</v>
      </c>
      <c r="Z14" s="2893" t="s">
        <v>3110</v>
      </c>
      <c r="AA14" s="2893" t="s">
        <v>3110</v>
      </c>
      <c r="AB14" s="2893" t="s">
        <v>3111</v>
      </c>
      <c r="AC14" s="2893" t="s">
        <v>3043</v>
      </c>
      <c r="AD14" s="2893" t="s">
        <v>3112</v>
      </c>
      <c r="AE14" s="2893">
        <v>52500</v>
      </c>
      <c r="AF14" s="2893">
        <v>175000</v>
      </c>
      <c r="AG14" s="2893">
        <v>175000</v>
      </c>
      <c r="AH14" s="2893">
        <v>2254.4499999999998</v>
      </c>
      <c r="AI14" s="2893">
        <v>2254.4499999999998</v>
      </c>
      <c r="AJ14" s="2893">
        <v>15802.22</v>
      </c>
      <c r="AK14" s="2893">
        <v>15802.21</v>
      </c>
      <c r="AL14" s="2893" t="s">
        <v>2811</v>
      </c>
      <c r="AM14" s="2893" t="s">
        <v>2811</v>
      </c>
      <c r="AN14" s="2893">
        <v>0</v>
      </c>
      <c r="AO14" s="2893" t="s">
        <v>3113</v>
      </c>
      <c r="AP14" s="2893" t="s">
        <v>2811</v>
      </c>
      <c r="AQ14" s="2893" t="s">
        <v>2811</v>
      </c>
      <c r="AR14" s="2893" t="s">
        <v>2811</v>
      </c>
      <c r="AS14" s="2893" t="s">
        <v>3078</v>
      </c>
    </row>
    <row r="15" spans="1:45" s="2893" customFormat="1">
      <c r="A15" s="2893" t="s">
        <v>3114</v>
      </c>
      <c r="B15" s="2893" t="s">
        <v>3026</v>
      </c>
      <c r="C15" s="2893" t="s">
        <v>3027</v>
      </c>
      <c r="D15" s="2893" t="s">
        <v>3028</v>
      </c>
      <c r="E15" s="2893" t="s">
        <v>2811</v>
      </c>
      <c r="F15" s="2893" t="s">
        <v>3115</v>
      </c>
      <c r="G15" s="2893" t="s">
        <v>3030</v>
      </c>
      <c r="H15" s="2893" t="s">
        <v>3116</v>
      </c>
      <c r="I15" s="2893" t="s">
        <v>3117</v>
      </c>
      <c r="J15" s="2893">
        <v>43127.3</v>
      </c>
      <c r="K15" s="2893">
        <v>86254.6</v>
      </c>
      <c r="L15" s="2893" t="s">
        <v>3118</v>
      </c>
      <c r="M15" s="2893" t="s">
        <v>2811</v>
      </c>
      <c r="N15" s="2893" t="s">
        <v>3055</v>
      </c>
      <c r="O15" s="2893">
        <v>0</v>
      </c>
      <c r="P15" s="2893" t="s">
        <v>3119</v>
      </c>
      <c r="Q15" s="2893" t="s">
        <v>2811</v>
      </c>
      <c r="R15" s="2893" t="s">
        <v>2811</v>
      </c>
      <c r="S15" s="2893" t="s">
        <v>2811</v>
      </c>
      <c r="T15" s="2893" t="s">
        <v>2811</v>
      </c>
      <c r="U15" s="2893" t="s">
        <v>2811</v>
      </c>
      <c r="V15" s="2893" t="s">
        <v>2811</v>
      </c>
      <c r="W15" s="2893" t="s">
        <v>3038</v>
      </c>
      <c r="X15" s="2893" t="s">
        <v>3120</v>
      </c>
      <c r="Y15" s="2893" t="s">
        <v>3121</v>
      </c>
      <c r="Z15" s="2893" t="s">
        <v>3109</v>
      </c>
      <c r="AA15" s="2893" t="s">
        <v>3109</v>
      </c>
      <c r="AB15" s="2893" t="s">
        <v>3122</v>
      </c>
      <c r="AC15" s="2893" t="s">
        <v>3043</v>
      </c>
      <c r="AD15" s="2893" t="s">
        <v>3123</v>
      </c>
      <c r="AE15" s="2893">
        <v>5180</v>
      </c>
      <c r="AF15" s="2893">
        <v>25900</v>
      </c>
      <c r="AG15" s="2893">
        <v>25900</v>
      </c>
      <c r="AH15" s="2893">
        <v>400.37</v>
      </c>
      <c r="AI15" s="2893">
        <v>400.37</v>
      </c>
      <c r="AJ15" s="2893">
        <v>3002.73</v>
      </c>
      <c r="AK15" s="2893">
        <v>3002.73</v>
      </c>
      <c r="AL15" s="2893" t="s">
        <v>2811</v>
      </c>
      <c r="AM15" s="2893" t="s">
        <v>2811</v>
      </c>
      <c r="AN15" s="2893">
        <v>0</v>
      </c>
      <c r="AO15" s="2893" t="s">
        <v>3124</v>
      </c>
      <c r="AP15" s="2893" t="s">
        <v>2811</v>
      </c>
      <c r="AQ15" s="2893" t="s">
        <v>2811</v>
      </c>
      <c r="AR15" s="2893" t="s">
        <v>2811</v>
      </c>
      <c r="AS15" s="2893" t="s">
        <v>3045</v>
      </c>
    </row>
    <row r="16" spans="1:45" s="2893" customFormat="1">
      <c r="A16" s="2893" t="s">
        <v>3125</v>
      </c>
      <c r="B16" s="2893" t="s">
        <v>3026</v>
      </c>
      <c r="C16" s="2893" t="s">
        <v>3027</v>
      </c>
      <c r="D16" s="2893" t="s">
        <v>3028</v>
      </c>
      <c r="E16" s="2893" t="s">
        <v>2811</v>
      </c>
      <c r="F16" s="2893" t="s">
        <v>3126</v>
      </c>
      <c r="G16" s="2893" t="s">
        <v>3030</v>
      </c>
      <c r="H16" s="2893" t="s">
        <v>3127</v>
      </c>
      <c r="I16" s="2893" t="s">
        <v>3117</v>
      </c>
      <c r="J16" s="2893">
        <v>27898.14</v>
      </c>
      <c r="K16" s="2893">
        <v>55796.28</v>
      </c>
      <c r="L16" s="2893" t="s">
        <v>3118</v>
      </c>
      <c r="M16" s="2893" t="s">
        <v>2811</v>
      </c>
      <c r="N16" s="2893" t="s">
        <v>3055</v>
      </c>
      <c r="O16" s="2893">
        <v>0</v>
      </c>
      <c r="P16" s="2893" t="s">
        <v>2811</v>
      </c>
      <c r="Q16" s="2893" t="s">
        <v>2811</v>
      </c>
      <c r="R16" s="2893" t="s">
        <v>2811</v>
      </c>
      <c r="S16" s="2893" t="s">
        <v>2811</v>
      </c>
      <c r="T16" s="2893" t="s">
        <v>2811</v>
      </c>
      <c r="U16" s="2893" t="s">
        <v>2811</v>
      </c>
      <c r="V16" s="2893" t="s">
        <v>2811</v>
      </c>
      <c r="W16" s="2893" t="s">
        <v>3038</v>
      </c>
      <c r="X16" s="2893" t="s">
        <v>3120</v>
      </c>
      <c r="Y16" s="2893" t="s">
        <v>3121</v>
      </c>
      <c r="Z16" s="2893" t="s">
        <v>3109</v>
      </c>
      <c r="AA16" s="2893" t="s">
        <v>3109</v>
      </c>
      <c r="AB16" s="2893" t="s">
        <v>3122</v>
      </c>
      <c r="AC16" s="2893" t="s">
        <v>3043</v>
      </c>
      <c r="AD16" s="2893" t="s">
        <v>3123</v>
      </c>
      <c r="AE16" s="2893">
        <v>2800</v>
      </c>
      <c r="AF16" s="2893">
        <v>14000</v>
      </c>
      <c r="AG16" s="2893">
        <v>14000</v>
      </c>
      <c r="AH16" s="2893">
        <v>334.55</v>
      </c>
      <c r="AI16" s="2893">
        <v>334.55</v>
      </c>
      <c r="AJ16" s="2893">
        <v>2509.12</v>
      </c>
      <c r="AK16" s="2893">
        <v>2509.13</v>
      </c>
      <c r="AL16" s="2893" t="s">
        <v>2811</v>
      </c>
      <c r="AM16" s="2893" t="s">
        <v>2811</v>
      </c>
      <c r="AN16" s="2893">
        <v>0</v>
      </c>
      <c r="AO16" s="2893" t="s">
        <v>3124</v>
      </c>
      <c r="AP16" s="2893" t="s">
        <v>2811</v>
      </c>
      <c r="AQ16" s="2893" t="s">
        <v>2811</v>
      </c>
      <c r="AR16" s="2893" t="s">
        <v>2811</v>
      </c>
      <c r="AS16" s="2893" t="s">
        <v>3045</v>
      </c>
    </row>
    <row r="17" spans="1:45" s="2893" customFormat="1">
      <c r="A17" s="2893" t="s">
        <v>3128</v>
      </c>
      <c r="B17" s="2893" t="s">
        <v>3026</v>
      </c>
      <c r="C17" s="2893" t="s">
        <v>3027</v>
      </c>
      <c r="D17" s="2893" t="s">
        <v>3028</v>
      </c>
      <c r="E17" s="2893" t="s">
        <v>2811</v>
      </c>
      <c r="F17" s="2893" t="s">
        <v>3129</v>
      </c>
      <c r="G17" s="2893" t="s">
        <v>3030</v>
      </c>
      <c r="H17" s="2893" t="s">
        <v>3130</v>
      </c>
      <c r="I17" s="2893" t="s">
        <v>3117</v>
      </c>
      <c r="J17" s="2893">
        <v>23270.75</v>
      </c>
      <c r="K17" s="2893">
        <v>58176.88</v>
      </c>
      <c r="L17" s="2893" t="s">
        <v>3082</v>
      </c>
      <c r="M17" s="2893" t="s">
        <v>2811</v>
      </c>
      <c r="N17" s="2893" t="s">
        <v>3034</v>
      </c>
      <c r="O17" s="2893">
        <v>0</v>
      </c>
      <c r="P17" s="2893" t="s">
        <v>3119</v>
      </c>
      <c r="Q17" s="2893" t="s">
        <v>2811</v>
      </c>
      <c r="R17" s="2893" t="s">
        <v>2811</v>
      </c>
      <c r="S17" s="2893" t="s">
        <v>2811</v>
      </c>
      <c r="T17" s="2893" t="s">
        <v>2811</v>
      </c>
      <c r="U17" s="2893" t="s">
        <v>2811</v>
      </c>
      <c r="V17" s="2893" t="s">
        <v>2811</v>
      </c>
      <c r="W17" s="2893" t="s">
        <v>3038</v>
      </c>
      <c r="X17" s="2893" t="s">
        <v>3120</v>
      </c>
      <c r="Y17" s="2893" t="s">
        <v>3121</v>
      </c>
      <c r="Z17" s="2893" t="s">
        <v>3109</v>
      </c>
      <c r="AA17" s="2893" t="s">
        <v>3109</v>
      </c>
      <c r="AB17" s="2893" t="s">
        <v>3122</v>
      </c>
      <c r="AC17" s="2893" t="s">
        <v>3043</v>
      </c>
      <c r="AD17" s="2893" t="s">
        <v>3131</v>
      </c>
      <c r="AE17" s="2893">
        <v>4080</v>
      </c>
      <c r="AF17" s="2893">
        <v>20400</v>
      </c>
      <c r="AG17" s="2893">
        <v>20400</v>
      </c>
      <c r="AH17" s="2893">
        <v>584.41999999999996</v>
      </c>
      <c r="AI17" s="2893">
        <v>584.41999999999996</v>
      </c>
      <c r="AJ17" s="2893">
        <v>3506.54</v>
      </c>
      <c r="AK17" s="2893">
        <v>3506.55</v>
      </c>
      <c r="AL17" s="2893" t="s">
        <v>2811</v>
      </c>
      <c r="AM17" s="2893" t="s">
        <v>2811</v>
      </c>
      <c r="AN17" s="2893">
        <v>0</v>
      </c>
      <c r="AO17" s="2893" t="s">
        <v>3124</v>
      </c>
      <c r="AP17" s="2893" t="s">
        <v>2811</v>
      </c>
      <c r="AQ17" s="2893" t="s">
        <v>2811</v>
      </c>
      <c r="AR17" s="2893" t="s">
        <v>2811</v>
      </c>
      <c r="AS17" s="2893" t="s">
        <v>3045</v>
      </c>
    </row>
    <row r="18" spans="1:45" s="2893" customFormat="1">
      <c r="A18" s="2893" t="s">
        <v>3132</v>
      </c>
      <c r="B18" s="2893" t="s">
        <v>3026</v>
      </c>
      <c r="C18" s="2893" t="s">
        <v>3027</v>
      </c>
      <c r="D18" s="2893" t="s">
        <v>3028</v>
      </c>
      <c r="E18" s="2893" t="s">
        <v>2811</v>
      </c>
      <c r="F18" s="2893" t="s">
        <v>3133</v>
      </c>
      <c r="G18" s="2893" t="s">
        <v>3030</v>
      </c>
      <c r="H18" s="2893" t="s">
        <v>3134</v>
      </c>
      <c r="I18" s="2893" t="s">
        <v>3117</v>
      </c>
      <c r="J18" s="2893">
        <v>26926.63</v>
      </c>
      <c r="K18" s="2893">
        <v>67316.58</v>
      </c>
      <c r="L18" s="2893" t="s">
        <v>3082</v>
      </c>
      <c r="M18" s="2893" t="s">
        <v>2811</v>
      </c>
      <c r="N18" s="2893" t="s">
        <v>3034</v>
      </c>
      <c r="O18" s="2893">
        <v>0</v>
      </c>
      <c r="P18" s="2893" t="s">
        <v>3119</v>
      </c>
      <c r="Q18" s="2893" t="s">
        <v>2811</v>
      </c>
      <c r="R18" s="2893" t="s">
        <v>2811</v>
      </c>
      <c r="S18" s="2893" t="s">
        <v>2811</v>
      </c>
      <c r="T18" s="2893" t="s">
        <v>2811</v>
      </c>
      <c r="U18" s="2893" t="s">
        <v>2811</v>
      </c>
      <c r="V18" s="2893" t="s">
        <v>2811</v>
      </c>
      <c r="W18" s="2893" t="s">
        <v>3038</v>
      </c>
      <c r="X18" s="2893" t="s">
        <v>3120</v>
      </c>
      <c r="Y18" s="2893" t="s">
        <v>3121</v>
      </c>
      <c r="Z18" s="2893" t="s">
        <v>3109</v>
      </c>
      <c r="AA18" s="2893" t="s">
        <v>3109</v>
      </c>
      <c r="AB18" s="2893" t="s">
        <v>3122</v>
      </c>
      <c r="AC18" s="2893" t="s">
        <v>3043</v>
      </c>
      <c r="AD18" s="2893" t="s">
        <v>3135</v>
      </c>
      <c r="AE18" s="2893">
        <v>4040</v>
      </c>
      <c r="AF18" s="2893">
        <v>20200</v>
      </c>
      <c r="AG18" s="2893">
        <v>20200</v>
      </c>
      <c r="AH18" s="2893">
        <v>500.12</v>
      </c>
      <c r="AI18" s="2893">
        <v>500.12</v>
      </c>
      <c r="AJ18" s="2893">
        <v>3000.74</v>
      </c>
      <c r="AK18" s="2893">
        <v>3000.75</v>
      </c>
      <c r="AL18" s="2893" t="s">
        <v>2811</v>
      </c>
      <c r="AM18" s="2893" t="s">
        <v>2811</v>
      </c>
      <c r="AN18" s="2893">
        <v>0</v>
      </c>
      <c r="AO18" s="2893" t="s">
        <v>3124</v>
      </c>
      <c r="AP18" s="2893" t="s">
        <v>2811</v>
      </c>
      <c r="AQ18" s="2893" t="s">
        <v>2811</v>
      </c>
      <c r="AR18" s="2893" t="s">
        <v>2811</v>
      </c>
      <c r="AS18" s="2893" t="s">
        <v>3045</v>
      </c>
    </row>
    <row r="19" spans="1:45" s="2893" customFormat="1">
      <c r="A19" s="2893" t="s">
        <v>3136</v>
      </c>
      <c r="B19" s="2893" t="s">
        <v>3026</v>
      </c>
      <c r="C19" s="2893" t="s">
        <v>3027</v>
      </c>
      <c r="D19" s="2893" t="s">
        <v>3028</v>
      </c>
      <c r="E19" s="2893" t="s">
        <v>2811</v>
      </c>
      <c r="F19" s="2893" t="s">
        <v>3137</v>
      </c>
      <c r="G19" s="2893" t="s">
        <v>3030</v>
      </c>
      <c r="H19" s="2893" t="s">
        <v>3138</v>
      </c>
      <c r="I19" s="2893" t="s">
        <v>3117</v>
      </c>
      <c r="J19" s="2893">
        <v>30430.23</v>
      </c>
      <c r="K19" s="2893">
        <v>76075.58</v>
      </c>
      <c r="L19" s="2893" t="s">
        <v>3082</v>
      </c>
      <c r="M19" s="2893" t="s">
        <v>2811</v>
      </c>
      <c r="N19" s="2893" t="s">
        <v>3034</v>
      </c>
      <c r="O19" s="2893">
        <v>0</v>
      </c>
      <c r="P19" s="2893" t="s">
        <v>3119</v>
      </c>
      <c r="Q19" s="2893" t="s">
        <v>2811</v>
      </c>
      <c r="R19" s="2893" t="s">
        <v>2811</v>
      </c>
      <c r="S19" s="2893" t="s">
        <v>2811</v>
      </c>
      <c r="T19" s="2893" t="s">
        <v>2811</v>
      </c>
      <c r="U19" s="2893" t="s">
        <v>2811</v>
      </c>
      <c r="V19" s="2893" t="s">
        <v>2811</v>
      </c>
      <c r="W19" s="2893" t="s">
        <v>3038</v>
      </c>
      <c r="X19" s="2893" t="s">
        <v>3120</v>
      </c>
      <c r="Y19" s="2893" t="s">
        <v>3121</v>
      </c>
      <c r="Z19" s="2893" t="s">
        <v>3109</v>
      </c>
      <c r="AA19" s="2893" t="s">
        <v>3109</v>
      </c>
      <c r="AB19" s="2893" t="s">
        <v>3122</v>
      </c>
      <c r="AC19" s="2893" t="s">
        <v>3043</v>
      </c>
      <c r="AD19" s="2893" t="s">
        <v>3139</v>
      </c>
      <c r="AE19" s="2893">
        <v>4560</v>
      </c>
      <c r="AF19" s="2893">
        <v>22800</v>
      </c>
      <c r="AG19" s="2893">
        <v>22800</v>
      </c>
      <c r="AH19" s="2893">
        <v>499.5</v>
      </c>
      <c r="AI19" s="2893">
        <v>499.5</v>
      </c>
      <c r="AJ19" s="2893">
        <v>2997.01</v>
      </c>
      <c r="AK19" s="2893">
        <v>2997.01</v>
      </c>
      <c r="AL19" s="2893" t="s">
        <v>2811</v>
      </c>
      <c r="AM19" s="2893" t="s">
        <v>2811</v>
      </c>
      <c r="AN19" s="2893">
        <v>0</v>
      </c>
      <c r="AO19" s="2893" t="s">
        <v>3124</v>
      </c>
      <c r="AP19" s="2893" t="s">
        <v>2811</v>
      </c>
      <c r="AQ19" s="2893" t="s">
        <v>2811</v>
      </c>
      <c r="AR19" s="2893" t="s">
        <v>2811</v>
      </c>
      <c r="AS19" s="2893" t="s">
        <v>3064</v>
      </c>
    </row>
    <row r="20" spans="1:45" s="2893" customFormat="1">
      <c r="A20" s="2893" t="s">
        <v>3140</v>
      </c>
      <c r="B20" s="2893" t="s">
        <v>3026</v>
      </c>
      <c r="C20" s="2893" t="s">
        <v>3027</v>
      </c>
      <c r="D20" s="2893" t="s">
        <v>3028</v>
      </c>
      <c r="E20" s="2893" t="s">
        <v>2811</v>
      </c>
      <c r="F20" s="2893" t="s">
        <v>3141</v>
      </c>
      <c r="G20" s="2893" t="s">
        <v>3030</v>
      </c>
      <c r="H20" s="2893" t="s">
        <v>3142</v>
      </c>
      <c r="I20" s="2893" t="s">
        <v>3117</v>
      </c>
      <c r="J20" s="2893">
        <v>25391.41</v>
      </c>
      <c r="K20" s="2893">
        <v>87092.54</v>
      </c>
      <c r="L20" s="2893" t="s">
        <v>3143</v>
      </c>
      <c r="M20" s="2893" t="s">
        <v>2811</v>
      </c>
      <c r="N20" s="2893" t="s">
        <v>3083</v>
      </c>
      <c r="O20" s="2893">
        <v>0</v>
      </c>
      <c r="P20" s="2893" t="s">
        <v>3119</v>
      </c>
      <c r="Q20" s="2893" t="s">
        <v>2811</v>
      </c>
      <c r="R20" s="2893" t="s">
        <v>2811</v>
      </c>
      <c r="S20" s="2893" t="s">
        <v>2811</v>
      </c>
      <c r="T20" s="2893" t="s">
        <v>2811</v>
      </c>
      <c r="U20" s="2893" t="s">
        <v>2811</v>
      </c>
      <c r="V20" s="2893" t="s">
        <v>2811</v>
      </c>
      <c r="W20" s="2893" t="s">
        <v>3038</v>
      </c>
      <c r="X20" s="2893" t="s">
        <v>3120</v>
      </c>
      <c r="Y20" s="2893" t="s">
        <v>3121</v>
      </c>
      <c r="Z20" s="2893" t="s">
        <v>3109</v>
      </c>
      <c r="AA20" s="2893" t="s">
        <v>3109</v>
      </c>
      <c r="AB20" s="2893" t="s">
        <v>3122</v>
      </c>
      <c r="AC20" s="2893" t="s">
        <v>3043</v>
      </c>
      <c r="AD20" s="2893" t="s">
        <v>3144</v>
      </c>
      <c r="AE20" s="2893">
        <v>5660</v>
      </c>
      <c r="AF20" s="2893">
        <v>28300</v>
      </c>
      <c r="AG20" s="2893">
        <v>28300</v>
      </c>
      <c r="AH20" s="2893">
        <v>743.03</v>
      </c>
      <c r="AI20" s="2893">
        <v>743.03</v>
      </c>
      <c r="AJ20" s="2893">
        <v>3249.41</v>
      </c>
      <c r="AK20" s="2893">
        <v>3249.42</v>
      </c>
      <c r="AL20" s="2893" t="s">
        <v>2811</v>
      </c>
      <c r="AM20" s="2893" t="s">
        <v>2811</v>
      </c>
      <c r="AN20" s="2893">
        <v>0</v>
      </c>
      <c r="AO20" s="2893" t="s">
        <v>3124</v>
      </c>
      <c r="AP20" s="2893" t="s">
        <v>2811</v>
      </c>
      <c r="AQ20" s="2893" t="s">
        <v>2811</v>
      </c>
      <c r="AR20" s="2893" t="s">
        <v>2811</v>
      </c>
      <c r="AS20" s="2893" t="s">
        <v>3045</v>
      </c>
    </row>
    <row r="21" spans="1:45" s="2893" customFormat="1">
      <c r="A21" s="2893" t="s">
        <v>3145</v>
      </c>
      <c r="B21" s="2893" t="s">
        <v>3026</v>
      </c>
      <c r="C21" s="2893" t="s">
        <v>3066</v>
      </c>
      <c r="D21" s="2893" t="s">
        <v>3028</v>
      </c>
      <c r="E21" s="2893" t="s">
        <v>2811</v>
      </c>
      <c r="F21" s="2893" t="s">
        <v>3145</v>
      </c>
      <c r="G21" s="2893" t="s">
        <v>3030</v>
      </c>
      <c r="H21" s="2893" t="s">
        <v>3146</v>
      </c>
      <c r="I21" s="2893" t="s">
        <v>3147</v>
      </c>
      <c r="J21" s="2893">
        <v>114919.9</v>
      </c>
      <c r="K21" s="2893">
        <v>470022.40000000002</v>
      </c>
      <c r="L21" s="2893" t="s">
        <v>3148</v>
      </c>
      <c r="M21" s="2893" t="s">
        <v>2811</v>
      </c>
      <c r="N21" s="2893">
        <v>0</v>
      </c>
      <c r="O21" s="2893">
        <v>0</v>
      </c>
      <c r="P21" s="2893" t="s">
        <v>2811</v>
      </c>
      <c r="Q21" s="2893" t="s">
        <v>2811</v>
      </c>
      <c r="R21" s="2893" t="s">
        <v>2811</v>
      </c>
      <c r="S21" s="2893" t="s">
        <v>2811</v>
      </c>
      <c r="T21" s="2893" t="s">
        <v>2811</v>
      </c>
      <c r="U21" s="2893" t="s">
        <v>2811</v>
      </c>
      <c r="V21" s="2893" t="s">
        <v>2811</v>
      </c>
      <c r="W21" s="2893" t="s">
        <v>3038</v>
      </c>
      <c r="X21" s="2893" t="s">
        <v>3149</v>
      </c>
      <c r="Y21" s="2893" t="s">
        <v>3150</v>
      </c>
      <c r="Z21" s="2893" t="s">
        <v>3151</v>
      </c>
      <c r="AA21" s="2893" t="s">
        <v>3151</v>
      </c>
      <c r="AB21" s="2893" t="s">
        <v>3152</v>
      </c>
      <c r="AC21" s="2893" t="s">
        <v>3043</v>
      </c>
      <c r="AD21" s="2893" t="s">
        <v>3153</v>
      </c>
      <c r="AE21" s="2893">
        <v>160000</v>
      </c>
      <c r="AF21" s="2893">
        <v>320000</v>
      </c>
      <c r="AG21" s="2893">
        <v>320000</v>
      </c>
      <c r="AH21" s="2893">
        <v>1856.37</v>
      </c>
      <c r="AI21" s="2893">
        <v>1856.37</v>
      </c>
      <c r="AJ21" s="2893">
        <v>6808.18</v>
      </c>
      <c r="AK21" s="2893">
        <v>6808.18</v>
      </c>
      <c r="AL21" s="2893" t="s">
        <v>2811</v>
      </c>
      <c r="AM21" s="2893" t="s">
        <v>2811</v>
      </c>
      <c r="AN21" s="2893">
        <v>0</v>
      </c>
      <c r="AO21" s="2893" t="s">
        <v>3113</v>
      </c>
      <c r="AP21" s="2893" t="s">
        <v>2811</v>
      </c>
      <c r="AQ21" s="2893" t="s">
        <v>2811</v>
      </c>
      <c r="AR21" s="2893" t="s">
        <v>2811</v>
      </c>
      <c r="AS21" s="2893" t="s">
        <v>3045</v>
      </c>
    </row>
    <row r="22" spans="1:45" s="2893" customFormat="1">
      <c r="A22" s="2893" t="s">
        <v>3154</v>
      </c>
      <c r="B22" s="2893" t="s">
        <v>3026</v>
      </c>
      <c r="C22" s="2893" t="s">
        <v>3027</v>
      </c>
      <c r="D22" s="2893" t="s">
        <v>3028</v>
      </c>
      <c r="E22" s="2893" t="s">
        <v>2811</v>
      </c>
      <c r="F22" s="2893" t="s">
        <v>3155</v>
      </c>
      <c r="G22" s="2893" t="s">
        <v>3030</v>
      </c>
      <c r="H22" s="2893" t="s">
        <v>3156</v>
      </c>
      <c r="I22" s="2893" t="s">
        <v>3157</v>
      </c>
      <c r="J22" s="2893">
        <v>107820</v>
      </c>
      <c r="K22" s="2893">
        <v>237204</v>
      </c>
      <c r="L22" s="2893" t="s">
        <v>3158</v>
      </c>
      <c r="M22" s="2893" t="s">
        <v>2811</v>
      </c>
      <c r="N22" s="2893" t="s">
        <v>3159</v>
      </c>
      <c r="O22" s="2893">
        <v>0</v>
      </c>
      <c r="P22" s="2893" t="s">
        <v>2811</v>
      </c>
      <c r="Q22" s="2893" t="s">
        <v>2811</v>
      </c>
      <c r="R22" s="2893" t="s">
        <v>2811</v>
      </c>
      <c r="S22" s="2893" t="s">
        <v>2811</v>
      </c>
      <c r="T22" s="2893" t="s">
        <v>2811</v>
      </c>
      <c r="U22" s="2893" t="s">
        <v>2811</v>
      </c>
      <c r="V22" s="2893" t="s">
        <v>2811</v>
      </c>
      <c r="W22" s="2893" t="s">
        <v>3160</v>
      </c>
      <c r="X22" s="2893" t="s">
        <v>3161</v>
      </c>
      <c r="Y22" s="2893" t="s">
        <v>3162</v>
      </c>
      <c r="Z22" s="2893" t="s">
        <v>3163</v>
      </c>
      <c r="AA22" s="2893" t="s">
        <v>3163</v>
      </c>
      <c r="AB22" s="2893" t="s">
        <v>3164</v>
      </c>
      <c r="AC22" s="2893" t="s">
        <v>3043</v>
      </c>
      <c r="AD22" s="2893" t="s">
        <v>3165</v>
      </c>
      <c r="AE22" s="2893">
        <v>167500</v>
      </c>
      <c r="AF22" s="2893">
        <v>335000</v>
      </c>
      <c r="AG22" s="2893">
        <v>335000</v>
      </c>
      <c r="AH22" s="2893">
        <v>2071.35</v>
      </c>
      <c r="AI22" s="2893">
        <v>2071.35</v>
      </c>
      <c r="AJ22" s="2893">
        <v>14122.86</v>
      </c>
      <c r="AK22" s="2893">
        <v>14122.86</v>
      </c>
      <c r="AL22" s="2893" t="s">
        <v>2811</v>
      </c>
      <c r="AM22" s="2893" t="s">
        <v>2811</v>
      </c>
      <c r="AN22" s="2893">
        <v>0</v>
      </c>
      <c r="AO22" s="2893" t="s">
        <v>3124</v>
      </c>
      <c r="AP22" s="2893" t="s">
        <v>2811</v>
      </c>
      <c r="AQ22" s="2893" t="s">
        <v>2811</v>
      </c>
      <c r="AR22" s="2893" t="s">
        <v>2811</v>
      </c>
      <c r="AS22" s="2893" t="s">
        <v>3064</v>
      </c>
    </row>
    <row r="23" spans="1:45" s="2893" customFormat="1">
      <c r="A23" s="2893" t="s">
        <v>3166</v>
      </c>
      <c r="B23" s="2893" t="s">
        <v>3026</v>
      </c>
      <c r="C23" s="2893" t="s">
        <v>3027</v>
      </c>
      <c r="D23" s="2893" t="s">
        <v>3028</v>
      </c>
      <c r="E23" s="2893" t="s">
        <v>2811</v>
      </c>
      <c r="F23" s="2893" t="s">
        <v>3167</v>
      </c>
      <c r="G23" s="2893" t="s">
        <v>3030</v>
      </c>
      <c r="H23" s="2893" t="s">
        <v>3168</v>
      </c>
      <c r="I23" s="2893" t="s">
        <v>3032</v>
      </c>
      <c r="J23" s="2893">
        <v>44575.05</v>
      </c>
      <c r="K23" s="2893">
        <v>71320.08</v>
      </c>
      <c r="L23" s="2893" t="s">
        <v>3169</v>
      </c>
      <c r="M23" s="2893" t="s">
        <v>2811</v>
      </c>
      <c r="N23" s="2893" t="s">
        <v>3055</v>
      </c>
      <c r="O23" s="2893">
        <v>0</v>
      </c>
      <c r="P23" s="2893" t="s">
        <v>2811</v>
      </c>
      <c r="Q23" s="2893" t="s">
        <v>2811</v>
      </c>
      <c r="R23" s="2893" t="s">
        <v>2811</v>
      </c>
      <c r="S23" s="2893" t="s">
        <v>2811</v>
      </c>
      <c r="T23" s="2893" t="s">
        <v>3170</v>
      </c>
      <c r="U23" s="2893" t="s">
        <v>3171</v>
      </c>
      <c r="V23" s="2893" t="s">
        <v>2811</v>
      </c>
      <c r="W23" s="2893" t="s">
        <v>3160</v>
      </c>
      <c r="X23" s="2893" t="s">
        <v>3172</v>
      </c>
      <c r="Y23" s="2893" t="s">
        <v>3173</v>
      </c>
      <c r="Z23" s="2893" t="s">
        <v>3174</v>
      </c>
      <c r="AA23" s="2893" t="s">
        <v>3174</v>
      </c>
      <c r="AB23" s="2893" t="s">
        <v>3175</v>
      </c>
      <c r="AC23" s="2893" t="s">
        <v>3043</v>
      </c>
      <c r="AD23" s="2893" t="s">
        <v>3176</v>
      </c>
      <c r="AE23" s="2893">
        <v>50000</v>
      </c>
      <c r="AF23" s="2893">
        <v>100000</v>
      </c>
      <c r="AG23" s="2893">
        <v>108000</v>
      </c>
      <c r="AH23" s="2893">
        <v>1495.6</v>
      </c>
      <c r="AI23" s="2893">
        <v>1615.25</v>
      </c>
      <c r="AJ23" s="2893">
        <v>14021.29</v>
      </c>
      <c r="AK23" s="2893">
        <v>15143</v>
      </c>
      <c r="AL23" s="2893" t="s">
        <v>2811</v>
      </c>
      <c r="AM23" s="2893" t="s">
        <v>2811</v>
      </c>
      <c r="AN23" s="2893">
        <v>8</v>
      </c>
      <c r="AO23" s="2893" t="s">
        <v>3124</v>
      </c>
      <c r="AP23" s="2893" t="s">
        <v>2811</v>
      </c>
      <c r="AQ23" s="2893" t="s">
        <v>2811</v>
      </c>
      <c r="AR23" s="2893" t="s">
        <v>2811</v>
      </c>
      <c r="AS23" s="2893" t="s">
        <v>3078</v>
      </c>
    </row>
    <row r="24" spans="1:45" s="2893" customFormat="1">
      <c r="A24" s="2893" t="s">
        <v>3177</v>
      </c>
      <c r="B24" s="2893" t="s">
        <v>3026</v>
      </c>
      <c r="C24" s="2893" t="s">
        <v>3066</v>
      </c>
      <c r="D24" s="2893" t="s">
        <v>3028</v>
      </c>
      <c r="E24" s="2893" t="s">
        <v>2811</v>
      </c>
      <c r="F24" s="2893" t="s">
        <v>3178</v>
      </c>
      <c r="G24" s="2893" t="s">
        <v>3030</v>
      </c>
      <c r="H24" s="2893" t="s">
        <v>3179</v>
      </c>
      <c r="I24" s="2893" t="s">
        <v>3180</v>
      </c>
      <c r="J24" s="2893">
        <v>91345.7</v>
      </c>
      <c r="K24" s="2893">
        <v>172643.4</v>
      </c>
      <c r="L24" s="2893">
        <v>1.89</v>
      </c>
      <c r="M24" s="2893" t="s">
        <v>2811</v>
      </c>
      <c r="N24" s="2893">
        <v>0</v>
      </c>
      <c r="O24" s="2893">
        <v>0</v>
      </c>
      <c r="P24" s="2893" t="s">
        <v>2811</v>
      </c>
      <c r="Q24" s="2893" t="s">
        <v>2811</v>
      </c>
      <c r="R24" s="2893" t="s">
        <v>2811</v>
      </c>
      <c r="S24" s="2893" t="s">
        <v>2811</v>
      </c>
      <c r="T24" s="2893" t="s">
        <v>2811</v>
      </c>
      <c r="U24" s="2893" t="s">
        <v>2811</v>
      </c>
      <c r="V24" s="2893" t="s">
        <v>2811</v>
      </c>
      <c r="W24" s="2893" t="s">
        <v>3160</v>
      </c>
      <c r="X24" s="2893" t="s">
        <v>3172</v>
      </c>
      <c r="Y24" s="2893" t="s">
        <v>3173</v>
      </c>
      <c r="Z24" s="2893" t="s">
        <v>3174</v>
      </c>
      <c r="AA24" s="2893" t="s">
        <v>3174</v>
      </c>
      <c r="AB24" s="2893" t="s">
        <v>3175</v>
      </c>
      <c r="AC24" s="2893" t="s">
        <v>3043</v>
      </c>
      <c r="AD24" s="2893" t="s">
        <v>3181</v>
      </c>
      <c r="AE24" s="2893">
        <v>87500</v>
      </c>
      <c r="AF24" s="2893">
        <v>175000</v>
      </c>
      <c r="AG24" s="2893">
        <v>176000</v>
      </c>
      <c r="AH24" s="2893">
        <v>1277.2</v>
      </c>
      <c r="AI24" s="2893">
        <v>1284.5</v>
      </c>
      <c r="AJ24" s="2893">
        <v>10136.5</v>
      </c>
      <c r="AK24" s="2893">
        <v>10194.42</v>
      </c>
      <c r="AL24" s="2893" t="s">
        <v>2811</v>
      </c>
      <c r="AM24" s="2893" t="s">
        <v>2811</v>
      </c>
      <c r="AN24" s="2893">
        <v>0.56999999999999995</v>
      </c>
      <c r="AO24" s="2893" t="s">
        <v>3113</v>
      </c>
      <c r="AP24" s="2893" t="s">
        <v>2811</v>
      </c>
      <c r="AQ24" s="2893" t="s">
        <v>2811</v>
      </c>
      <c r="AR24" s="2893" t="s">
        <v>2811</v>
      </c>
      <c r="AS24" s="2893" t="s">
        <v>3045</v>
      </c>
    </row>
    <row r="25" spans="1:45" s="2893" customFormat="1">
      <c r="A25" s="2893" t="s">
        <v>3182</v>
      </c>
      <c r="B25" s="2893" t="s">
        <v>3026</v>
      </c>
      <c r="C25" s="2893" t="s">
        <v>3066</v>
      </c>
      <c r="D25" s="2893" t="s">
        <v>3028</v>
      </c>
      <c r="E25" s="2893" t="s">
        <v>2811</v>
      </c>
      <c r="F25" s="2893" t="s">
        <v>3183</v>
      </c>
      <c r="G25" s="2893" t="s">
        <v>3030</v>
      </c>
      <c r="H25" s="2893" t="s">
        <v>3184</v>
      </c>
      <c r="I25" s="2893" t="s">
        <v>3185</v>
      </c>
      <c r="J25" s="2893">
        <v>31158.799999999999</v>
      </c>
      <c r="K25" s="2893">
        <v>74469.53</v>
      </c>
      <c r="L25" s="2893">
        <v>2.39</v>
      </c>
      <c r="M25" s="2893" t="s">
        <v>2811</v>
      </c>
      <c r="N25" s="2893">
        <v>0</v>
      </c>
      <c r="O25" s="2893">
        <v>0</v>
      </c>
      <c r="P25" s="2893" t="s">
        <v>2811</v>
      </c>
      <c r="Q25" s="2893" t="s">
        <v>2811</v>
      </c>
      <c r="R25" s="2893" t="s">
        <v>2811</v>
      </c>
      <c r="S25" s="2893" t="s">
        <v>2811</v>
      </c>
      <c r="T25" s="2893" t="s">
        <v>3170</v>
      </c>
      <c r="U25" s="2893" t="s">
        <v>3171</v>
      </c>
      <c r="V25" s="2893" t="s">
        <v>2811</v>
      </c>
      <c r="W25" s="2893" t="s">
        <v>3160</v>
      </c>
      <c r="X25" s="2893" t="s">
        <v>3172</v>
      </c>
      <c r="Y25" s="2893" t="s">
        <v>3173</v>
      </c>
      <c r="Z25" s="2893" t="s">
        <v>3174</v>
      </c>
      <c r="AA25" s="2893" t="s">
        <v>3174</v>
      </c>
      <c r="AB25" s="2893" t="s">
        <v>3175</v>
      </c>
      <c r="AC25" s="2893" t="s">
        <v>3043</v>
      </c>
      <c r="AD25" s="2893" t="s">
        <v>3186</v>
      </c>
      <c r="AE25" s="2893">
        <v>52500</v>
      </c>
      <c r="AF25" s="2893">
        <v>105000</v>
      </c>
      <c r="AG25" s="2893">
        <v>118000</v>
      </c>
      <c r="AH25" s="2893">
        <v>2246.56</v>
      </c>
      <c r="AI25" s="2893">
        <v>2524.6999999999998</v>
      </c>
      <c r="AJ25" s="2893">
        <v>14099.72</v>
      </c>
      <c r="AK25" s="2893">
        <v>15845.4</v>
      </c>
      <c r="AL25" s="2893" t="s">
        <v>2811</v>
      </c>
      <c r="AM25" s="2893" t="s">
        <v>2811</v>
      </c>
      <c r="AN25" s="2893">
        <v>12.38</v>
      </c>
      <c r="AO25" s="2893" t="s">
        <v>3113</v>
      </c>
      <c r="AP25" s="2893" t="s">
        <v>2811</v>
      </c>
      <c r="AQ25" s="2893" t="s">
        <v>2811</v>
      </c>
      <c r="AR25" s="2893" t="s">
        <v>2811</v>
      </c>
      <c r="AS25" s="2893" t="s">
        <v>3078</v>
      </c>
    </row>
    <row r="26" spans="1:45" s="2893" customFormat="1">
      <c r="A26" s="2893" t="s">
        <v>3187</v>
      </c>
      <c r="B26" s="2893" t="s">
        <v>3026</v>
      </c>
      <c r="C26" s="2893" t="s">
        <v>3027</v>
      </c>
      <c r="D26" s="2893" t="s">
        <v>3028</v>
      </c>
      <c r="E26" s="2893" t="s">
        <v>2811</v>
      </c>
      <c r="F26" s="2893" t="s">
        <v>3188</v>
      </c>
      <c r="G26" s="2893" t="s">
        <v>3030</v>
      </c>
      <c r="H26" s="2893" t="s">
        <v>3189</v>
      </c>
      <c r="I26" s="2893" t="s">
        <v>3157</v>
      </c>
      <c r="J26" s="2893">
        <v>115420.4</v>
      </c>
      <c r="K26" s="2893">
        <v>253924.9</v>
      </c>
      <c r="L26" s="2893" t="s">
        <v>3190</v>
      </c>
      <c r="M26" s="2893" t="s">
        <v>2811</v>
      </c>
      <c r="N26" s="2893" t="s">
        <v>3034</v>
      </c>
      <c r="O26" s="2893">
        <v>0</v>
      </c>
      <c r="P26" s="2893" t="s">
        <v>2811</v>
      </c>
      <c r="Q26" s="2893" t="s">
        <v>2811</v>
      </c>
      <c r="R26" s="2893" t="s">
        <v>2811</v>
      </c>
      <c r="S26" s="2893" t="s">
        <v>2811</v>
      </c>
      <c r="T26" s="2893" t="s">
        <v>3037</v>
      </c>
      <c r="U26" s="2893" t="s">
        <v>2811</v>
      </c>
      <c r="V26" s="2893" t="s">
        <v>2811</v>
      </c>
      <c r="W26" s="2893" t="s">
        <v>3160</v>
      </c>
      <c r="X26" s="2893" t="s">
        <v>3191</v>
      </c>
      <c r="Y26" s="2893" t="s">
        <v>3192</v>
      </c>
      <c r="Z26" s="2893" t="s">
        <v>3193</v>
      </c>
      <c r="AA26" s="2893" t="s">
        <v>3193</v>
      </c>
      <c r="AB26" s="2893" t="s">
        <v>3194</v>
      </c>
      <c r="AC26" s="2893" t="s">
        <v>3043</v>
      </c>
      <c r="AD26" s="2893" t="s">
        <v>3195</v>
      </c>
      <c r="AE26" s="2893">
        <v>189500</v>
      </c>
      <c r="AF26" s="2893">
        <v>379000</v>
      </c>
      <c r="AG26" s="2893">
        <v>449000</v>
      </c>
      <c r="AH26" s="2893">
        <v>2189.1</v>
      </c>
      <c r="AI26" s="2893">
        <v>2593.42</v>
      </c>
      <c r="AJ26" s="2893">
        <v>14925.67</v>
      </c>
      <c r="AK26" s="2893">
        <v>17682.38</v>
      </c>
      <c r="AL26" s="2893" t="s">
        <v>2811</v>
      </c>
      <c r="AM26" s="2893" t="s">
        <v>2811</v>
      </c>
      <c r="AN26" s="2893">
        <v>18.47</v>
      </c>
      <c r="AO26" s="2893">
        <v>70</v>
      </c>
      <c r="AP26" s="2893" t="s">
        <v>2811</v>
      </c>
      <c r="AQ26" s="2893" t="s">
        <v>2811</v>
      </c>
      <c r="AR26" s="2893" t="s">
        <v>2811</v>
      </c>
      <c r="AS26" s="2893" t="s">
        <v>3078</v>
      </c>
    </row>
    <row r="27" spans="1:45" s="2893" customFormat="1">
      <c r="A27" s="2893" t="s">
        <v>3196</v>
      </c>
      <c r="B27" s="2893" t="s">
        <v>3026</v>
      </c>
      <c r="C27" s="2893" t="s">
        <v>3027</v>
      </c>
      <c r="D27" s="2893" t="s">
        <v>3028</v>
      </c>
      <c r="E27" s="2893" t="s">
        <v>2811</v>
      </c>
      <c r="F27" s="2893" t="s">
        <v>3197</v>
      </c>
      <c r="G27" s="2893" t="s">
        <v>3030</v>
      </c>
      <c r="H27" s="2893" t="s">
        <v>3198</v>
      </c>
      <c r="I27" s="2893" t="s">
        <v>3157</v>
      </c>
      <c r="J27" s="2893">
        <v>149465.1</v>
      </c>
      <c r="K27" s="2893">
        <v>328823.3</v>
      </c>
      <c r="L27" s="2893" t="s">
        <v>3190</v>
      </c>
      <c r="M27" s="2893" t="s">
        <v>2811</v>
      </c>
      <c r="N27" s="2893" t="s">
        <v>3034</v>
      </c>
      <c r="O27" s="2893">
        <v>0</v>
      </c>
      <c r="P27" s="2893" t="s">
        <v>2811</v>
      </c>
      <c r="Q27" s="2893" t="s">
        <v>2811</v>
      </c>
      <c r="R27" s="2893" t="s">
        <v>2811</v>
      </c>
      <c r="S27" s="2893" t="s">
        <v>2811</v>
      </c>
      <c r="T27" s="2893" t="s">
        <v>3037</v>
      </c>
      <c r="U27" s="2893" t="s">
        <v>2811</v>
      </c>
      <c r="V27" s="2893" t="s">
        <v>2811</v>
      </c>
      <c r="W27" s="2893" t="s">
        <v>3160</v>
      </c>
      <c r="X27" s="2893" t="s">
        <v>3191</v>
      </c>
      <c r="Y27" s="2893" t="s">
        <v>3192</v>
      </c>
      <c r="Z27" s="2893" t="s">
        <v>3193</v>
      </c>
      <c r="AA27" s="2893" t="s">
        <v>3193</v>
      </c>
      <c r="AB27" s="2893" t="s">
        <v>3194</v>
      </c>
      <c r="AC27" s="2893" t="s">
        <v>3043</v>
      </c>
      <c r="AD27" s="2893" t="s">
        <v>3199</v>
      </c>
      <c r="AE27" s="2893">
        <v>242000</v>
      </c>
      <c r="AF27" s="2893">
        <v>484000</v>
      </c>
      <c r="AG27" s="2893">
        <v>564000</v>
      </c>
      <c r="AH27" s="2893">
        <v>2158.81</v>
      </c>
      <c r="AI27" s="2893">
        <v>2515.64</v>
      </c>
      <c r="AJ27" s="2893">
        <v>14719.15</v>
      </c>
      <c r="AK27" s="2893">
        <v>17152.060000000001</v>
      </c>
      <c r="AL27" s="2893" t="s">
        <v>2811</v>
      </c>
      <c r="AM27" s="2893" t="s">
        <v>2811</v>
      </c>
      <c r="AN27" s="2893">
        <v>16.53</v>
      </c>
      <c r="AO27" s="2893">
        <v>70</v>
      </c>
      <c r="AP27" s="2893" t="s">
        <v>2811</v>
      </c>
      <c r="AQ27" s="2893" t="s">
        <v>2811</v>
      </c>
      <c r="AR27" s="2893" t="s">
        <v>2811</v>
      </c>
      <c r="AS27" s="2893" t="s">
        <v>3078</v>
      </c>
    </row>
    <row r="28" spans="1:45" s="2893" customFormat="1">
      <c r="A28" s="2893" t="s">
        <v>3200</v>
      </c>
      <c r="B28" s="2893" t="s">
        <v>3026</v>
      </c>
      <c r="C28" s="2893" t="s">
        <v>3027</v>
      </c>
      <c r="D28" s="2893" t="s">
        <v>3028</v>
      </c>
      <c r="E28" s="2893" t="s">
        <v>2811</v>
      </c>
      <c r="F28" s="2893" t="s">
        <v>3201</v>
      </c>
      <c r="G28" s="2893" t="s">
        <v>3030</v>
      </c>
      <c r="H28" s="2893" t="s">
        <v>3202</v>
      </c>
      <c r="I28" s="2893" t="s">
        <v>3032</v>
      </c>
      <c r="J28" s="2893">
        <v>32620.85</v>
      </c>
      <c r="K28" s="2893">
        <v>84814.21</v>
      </c>
      <c r="L28" s="2893" t="s">
        <v>3203</v>
      </c>
      <c r="M28" s="2893" t="s">
        <v>2811</v>
      </c>
      <c r="N28" s="2893" t="s">
        <v>3034</v>
      </c>
      <c r="O28" s="2893">
        <v>0</v>
      </c>
      <c r="P28" s="2893" t="s">
        <v>2811</v>
      </c>
      <c r="Q28" s="2893" t="s">
        <v>2811</v>
      </c>
      <c r="R28" s="2893" t="s">
        <v>2811</v>
      </c>
      <c r="S28" s="2893" t="s">
        <v>2811</v>
      </c>
      <c r="T28" s="2893" t="s">
        <v>3204</v>
      </c>
      <c r="U28" s="2893" t="s">
        <v>3037</v>
      </c>
      <c r="V28" s="2893" t="s">
        <v>2811</v>
      </c>
      <c r="W28" s="2893" t="s">
        <v>3160</v>
      </c>
      <c r="X28" s="2893" t="s">
        <v>3205</v>
      </c>
      <c r="Y28" s="2893" t="s">
        <v>3206</v>
      </c>
      <c r="Z28" s="2893" t="s">
        <v>3207</v>
      </c>
      <c r="AA28" s="2893" t="s">
        <v>3207</v>
      </c>
      <c r="AB28" s="2893" t="s">
        <v>3208</v>
      </c>
      <c r="AC28" s="2893" t="s">
        <v>3043</v>
      </c>
      <c r="AD28" s="2893" t="s">
        <v>3209</v>
      </c>
      <c r="AE28" s="2893">
        <v>60000</v>
      </c>
      <c r="AF28" s="2893">
        <v>120000</v>
      </c>
      <c r="AG28" s="2893">
        <v>152000</v>
      </c>
      <c r="AH28" s="2893">
        <v>2452.42</v>
      </c>
      <c r="AI28" s="2893">
        <v>3106.4</v>
      </c>
      <c r="AJ28" s="2893">
        <v>14148.57</v>
      </c>
      <c r="AK28" s="2893">
        <v>17921.52</v>
      </c>
      <c r="AL28" s="2893" t="s">
        <v>2811</v>
      </c>
      <c r="AM28" s="2893" t="s">
        <v>2811</v>
      </c>
      <c r="AN28" s="2893">
        <v>26.67</v>
      </c>
      <c r="AO28" s="2893" t="s">
        <v>3124</v>
      </c>
      <c r="AP28" s="2893" t="s">
        <v>2811</v>
      </c>
      <c r="AQ28" s="2893" t="s">
        <v>2811</v>
      </c>
      <c r="AR28" s="2893" t="s">
        <v>2811</v>
      </c>
      <c r="AS28" s="2893" t="s">
        <v>3064</v>
      </c>
    </row>
    <row r="29" spans="1:45" s="2893" customFormat="1">
      <c r="A29" s="2893" t="s">
        <v>3210</v>
      </c>
      <c r="B29" s="2893" t="s">
        <v>3026</v>
      </c>
      <c r="C29" s="2893" t="s">
        <v>3066</v>
      </c>
      <c r="D29" s="2893" t="s">
        <v>3028</v>
      </c>
      <c r="E29" s="2893" t="s">
        <v>2811</v>
      </c>
      <c r="F29" s="2893" t="s">
        <v>3211</v>
      </c>
      <c r="G29" s="2893" t="s">
        <v>3030</v>
      </c>
      <c r="H29" s="2893" t="s">
        <v>3212</v>
      </c>
      <c r="I29" s="2893" t="s">
        <v>3213</v>
      </c>
      <c r="J29" s="2893">
        <v>144851.70000000001</v>
      </c>
      <c r="K29" s="2893">
        <v>250200.1</v>
      </c>
      <c r="L29" s="2893" t="s">
        <v>3214</v>
      </c>
      <c r="M29" s="2893" t="s">
        <v>2811</v>
      </c>
      <c r="N29" s="2893">
        <v>0</v>
      </c>
      <c r="O29" s="2893">
        <v>0</v>
      </c>
      <c r="P29" s="2893" t="s">
        <v>2811</v>
      </c>
      <c r="Q29" s="2893" t="s">
        <v>2811</v>
      </c>
      <c r="R29" s="2893" t="s">
        <v>2811</v>
      </c>
      <c r="S29" s="2893" t="s">
        <v>2811</v>
      </c>
      <c r="T29" s="2893" t="s">
        <v>3204</v>
      </c>
      <c r="U29" s="2893" t="s">
        <v>3037</v>
      </c>
      <c r="V29" s="2893" t="s">
        <v>2811</v>
      </c>
      <c r="W29" s="2893" t="s">
        <v>3160</v>
      </c>
      <c r="X29" s="2893" t="s">
        <v>3215</v>
      </c>
      <c r="Y29" s="2893" t="s">
        <v>3216</v>
      </c>
      <c r="Z29" s="2893" t="s">
        <v>3217</v>
      </c>
      <c r="AA29" s="2893" t="s">
        <v>3217</v>
      </c>
      <c r="AB29" s="2893" t="s">
        <v>3218</v>
      </c>
      <c r="AC29" s="2893" t="s">
        <v>3043</v>
      </c>
      <c r="AD29" s="2893" t="s">
        <v>3219</v>
      </c>
      <c r="AE29" s="2893">
        <v>1</v>
      </c>
      <c r="AF29" s="2893">
        <v>298000</v>
      </c>
      <c r="AG29" s="2893">
        <v>335000</v>
      </c>
      <c r="AH29" s="2893">
        <v>1371.52</v>
      </c>
      <c r="AI29" s="2893">
        <v>1541.81</v>
      </c>
      <c r="AJ29" s="2893">
        <v>11910.46</v>
      </c>
      <c r="AK29" s="2893">
        <v>13389.28</v>
      </c>
      <c r="AL29" s="2893" t="s">
        <v>2811</v>
      </c>
      <c r="AM29" s="2893" t="s">
        <v>2811</v>
      </c>
      <c r="AN29" s="2893">
        <v>12.42</v>
      </c>
      <c r="AO29" s="2893" t="s">
        <v>3220</v>
      </c>
      <c r="AP29" s="2893" t="s">
        <v>2811</v>
      </c>
      <c r="AQ29" s="2893" t="s">
        <v>2811</v>
      </c>
      <c r="AR29" s="2893" t="s">
        <v>2811</v>
      </c>
      <c r="AS29" s="2893" t="s">
        <v>3078</v>
      </c>
    </row>
    <row r="30" spans="1:45" s="2893" customFormat="1">
      <c r="A30" s="2893" t="s">
        <v>3221</v>
      </c>
      <c r="B30" s="2893" t="s">
        <v>3026</v>
      </c>
      <c r="C30" s="2893" t="s">
        <v>3066</v>
      </c>
      <c r="D30" s="2893" t="s">
        <v>3028</v>
      </c>
      <c r="E30" s="2893" t="s">
        <v>2811</v>
      </c>
      <c r="F30" s="2893" t="s">
        <v>3222</v>
      </c>
      <c r="G30" s="2893" t="s">
        <v>3030</v>
      </c>
      <c r="H30" s="2893" t="s">
        <v>3223</v>
      </c>
      <c r="I30" s="2893" t="s">
        <v>3069</v>
      </c>
      <c r="J30" s="2893">
        <v>44136.02</v>
      </c>
      <c r="K30" s="2893">
        <v>223769.60000000001</v>
      </c>
      <c r="L30" s="2893" t="s">
        <v>3224</v>
      </c>
      <c r="M30" s="2893" t="s">
        <v>2811</v>
      </c>
      <c r="N30" s="2893">
        <v>0</v>
      </c>
      <c r="O30" s="2893">
        <v>0</v>
      </c>
      <c r="P30" s="2893" t="s">
        <v>2811</v>
      </c>
      <c r="Q30" s="2893" t="s">
        <v>2811</v>
      </c>
      <c r="R30" s="2893" t="s">
        <v>2811</v>
      </c>
      <c r="S30" s="2893" t="s">
        <v>2811</v>
      </c>
      <c r="T30" s="2893" t="s">
        <v>3204</v>
      </c>
      <c r="U30" s="2893" t="s">
        <v>3037</v>
      </c>
      <c r="V30" s="2893" t="s">
        <v>2811</v>
      </c>
      <c r="W30" s="2893" t="s">
        <v>3160</v>
      </c>
      <c r="X30" s="2893" t="s">
        <v>3225</v>
      </c>
      <c r="Y30" s="2893" t="s">
        <v>3226</v>
      </c>
      <c r="Z30" s="2893" t="s">
        <v>3227</v>
      </c>
      <c r="AA30" s="2893" t="s">
        <v>3227</v>
      </c>
      <c r="AB30" s="2893" t="s">
        <v>3228</v>
      </c>
      <c r="AC30" s="2893" t="s">
        <v>3043</v>
      </c>
      <c r="AD30" s="2893" t="s">
        <v>3229</v>
      </c>
      <c r="AE30" s="2893">
        <v>47500</v>
      </c>
      <c r="AF30" s="2893">
        <v>95000</v>
      </c>
      <c r="AG30" s="2893">
        <v>95000</v>
      </c>
      <c r="AH30" s="2893">
        <v>1434.96</v>
      </c>
      <c r="AI30" s="2893">
        <v>1434.96</v>
      </c>
      <c r="AJ30" s="2893">
        <v>4245.43</v>
      </c>
      <c r="AK30" s="2893">
        <v>4245.43</v>
      </c>
      <c r="AL30" s="2893" t="s">
        <v>2811</v>
      </c>
      <c r="AM30" s="2893" t="s">
        <v>2811</v>
      </c>
      <c r="AN30" s="2893">
        <v>0</v>
      </c>
      <c r="AO30" s="2893" t="s">
        <v>3230</v>
      </c>
      <c r="AP30" s="2893" t="s">
        <v>2811</v>
      </c>
      <c r="AQ30" s="2893" t="s">
        <v>2811</v>
      </c>
      <c r="AR30" s="2893" t="s">
        <v>2811</v>
      </c>
      <c r="AS30" s="2893" t="s">
        <v>3078</v>
      </c>
    </row>
    <row r="31" spans="1:45" s="2893" customFormat="1">
      <c r="A31" s="2893" t="s">
        <v>3231</v>
      </c>
      <c r="B31" s="2893" t="s">
        <v>3026</v>
      </c>
      <c r="C31" s="2893" t="s">
        <v>3027</v>
      </c>
      <c r="D31" s="2893" t="s">
        <v>3028</v>
      </c>
      <c r="E31" s="2893" t="s">
        <v>2811</v>
      </c>
      <c r="F31" s="2893" t="s">
        <v>3232</v>
      </c>
      <c r="G31" s="2893" t="s">
        <v>3030</v>
      </c>
      <c r="H31" s="2893" t="s">
        <v>3233</v>
      </c>
      <c r="I31" s="2893" t="s">
        <v>3234</v>
      </c>
      <c r="J31" s="2893">
        <v>26936.84</v>
      </c>
      <c r="K31" s="2893">
        <v>67342.100000000006</v>
      </c>
      <c r="L31" s="2893" t="s">
        <v>3061</v>
      </c>
      <c r="M31" s="2893" t="s">
        <v>2811</v>
      </c>
      <c r="N31" s="2893" t="s">
        <v>3034</v>
      </c>
      <c r="O31" s="2893">
        <v>0</v>
      </c>
      <c r="P31" s="2893" t="s">
        <v>2811</v>
      </c>
      <c r="Q31" s="2893" t="s">
        <v>2811</v>
      </c>
      <c r="R31" s="2893" t="s">
        <v>2811</v>
      </c>
      <c r="S31" s="2893" t="s">
        <v>2811</v>
      </c>
      <c r="T31" s="2893" t="s">
        <v>3096</v>
      </c>
      <c r="U31" s="2893" t="s">
        <v>3096</v>
      </c>
      <c r="V31" s="2893" t="s">
        <v>2811</v>
      </c>
      <c r="W31" s="2893" t="s">
        <v>3160</v>
      </c>
      <c r="X31" s="2893" t="s">
        <v>3235</v>
      </c>
      <c r="Y31" s="2893" t="s">
        <v>3236</v>
      </c>
      <c r="Z31" s="2893" t="s">
        <v>3237</v>
      </c>
      <c r="AA31" s="2893" t="s">
        <v>3237</v>
      </c>
      <c r="AB31" s="2893" t="s">
        <v>3238</v>
      </c>
      <c r="AC31" s="2893" t="s">
        <v>3043</v>
      </c>
      <c r="AD31" s="2893" t="s">
        <v>3239</v>
      </c>
      <c r="AE31" s="2893">
        <v>3780</v>
      </c>
      <c r="AF31" s="2893">
        <v>18900</v>
      </c>
      <c r="AG31" s="2893">
        <v>18900</v>
      </c>
      <c r="AH31" s="2893">
        <v>467.76</v>
      </c>
      <c r="AI31" s="2893">
        <v>467.76</v>
      </c>
      <c r="AJ31" s="2893">
        <v>2806.56</v>
      </c>
      <c r="AK31" s="2893">
        <v>2806.57</v>
      </c>
      <c r="AL31" s="2893" t="s">
        <v>2811</v>
      </c>
      <c r="AM31" s="2893" t="s">
        <v>2811</v>
      </c>
      <c r="AN31" s="2893">
        <v>0</v>
      </c>
      <c r="AO31" s="2893" t="s">
        <v>3124</v>
      </c>
      <c r="AP31" s="2893" t="s">
        <v>2811</v>
      </c>
      <c r="AQ31" s="2893" t="s">
        <v>2811</v>
      </c>
      <c r="AR31" s="2893" t="s">
        <v>2811</v>
      </c>
      <c r="AS31" s="2893" t="s">
        <v>3064</v>
      </c>
    </row>
    <row r="32" spans="1:45" s="2893" customFormat="1">
      <c r="A32" s="2893" t="s">
        <v>3240</v>
      </c>
      <c r="B32" s="2893" t="s">
        <v>3026</v>
      </c>
      <c r="C32" s="2893" t="s">
        <v>3027</v>
      </c>
      <c r="D32" s="2893" t="s">
        <v>3028</v>
      </c>
      <c r="E32" s="2893" t="s">
        <v>2811</v>
      </c>
      <c r="F32" s="2893" t="s">
        <v>3241</v>
      </c>
      <c r="G32" s="2893" t="s">
        <v>3030</v>
      </c>
      <c r="H32" s="2893" t="s">
        <v>3242</v>
      </c>
      <c r="I32" s="2893" t="s">
        <v>3234</v>
      </c>
      <c r="J32" s="2893">
        <v>36690.82</v>
      </c>
      <c r="K32" s="2893">
        <v>88057.97</v>
      </c>
      <c r="L32" s="2893" t="s">
        <v>3033</v>
      </c>
      <c r="M32" s="2893" t="s">
        <v>2811</v>
      </c>
      <c r="N32" s="2893" t="s">
        <v>3034</v>
      </c>
      <c r="O32" s="2893">
        <v>0</v>
      </c>
      <c r="P32" s="2893" t="s">
        <v>2811</v>
      </c>
      <c r="Q32" s="2893" t="s">
        <v>2811</v>
      </c>
      <c r="R32" s="2893" t="s">
        <v>2811</v>
      </c>
      <c r="S32" s="2893" t="s">
        <v>2811</v>
      </c>
      <c r="T32" s="2893" t="s">
        <v>3096</v>
      </c>
      <c r="U32" s="2893" t="s">
        <v>3096</v>
      </c>
      <c r="V32" s="2893" t="s">
        <v>2811</v>
      </c>
      <c r="W32" s="2893" t="s">
        <v>3160</v>
      </c>
      <c r="X32" s="2893" t="s">
        <v>3235</v>
      </c>
      <c r="Y32" s="2893" t="s">
        <v>3236</v>
      </c>
      <c r="Z32" s="2893" t="s">
        <v>3237</v>
      </c>
      <c r="AA32" s="2893" t="s">
        <v>3237</v>
      </c>
      <c r="AB32" s="2893" t="s">
        <v>3243</v>
      </c>
      <c r="AC32" s="2893" t="s">
        <v>3043</v>
      </c>
      <c r="AD32" s="2893" t="s">
        <v>3244</v>
      </c>
      <c r="AE32" s="2893">
        <v>4940</v>
      </c>
      <c r="AF32" s="2893">
        <v>24700</v>
      </c>
      <c r="AG32" s="2893">
        <v>24700</v>
      </c>
      <c r="AH32" s="2893">
        <v>448.8</v>
      </c>
      <c r="AI32" s="2893">
        <v>448.8</v>
      </c>
      <c r="AJ32" s="2893">
        <v>2804.97</v>
      </c>
      <c r="AK32" s="2893">
        <v>2804.96</v>
      </c>
      <c r="AL32" s="2893" t="s">
        <v>2811</v>
      </c>
      <c r="AM32" s="2893" t="s">
        <v>2811</v>
      </c>
      <c r="AN32" s="2893">
        <v>0</v>
      </c>
      <c r="AO32" s="2893" t="s">
        <v>3124</v>
      </c>
      <c r="AP32" s="2893" t="s">
        <v>2811</v>
      </c>
      <c r="AQ32" s="2893" t="s">
        <v>2811</v>
      </c>
      <c r="AR32" s="2893" t="s">
        <v>2811</v>
      </c>
      <c r="AS32" s="2893" t="s">
        <v>3078</v>
      </c>
    </row>
    <row r="33" spans="1:45" s="2893" customFormat="1">
      <c r="A33" s="2893" t="s">
        <v>3245</v>
      </c>
      <c r="B33" s="2893" t="s">
        <v>3026</v>
      </c>
      <c r="C33" s="2893" t="s">
        <v>3027</v>
      </c>
      <c r="D33" s="2893" t="s">
        <v>3028</v>
      </c>
      <c r="E33" s="2893" t="s">
        <v>2811</v>
      </c>
      <c r="F33" s="2893" t="s">
        <v>3245</v>
      </c>
      <c r="G33" s="2893" t="s">
        <v>3030</v>
      </c>
      <c r="H33" s="2893" t="s">
        <v>3246</v>
      </c>
      <c r="I33" s="2893" t="s">
        <v>3032</v>
      </c>
      <c r="J33" s="2893">
        <v>162394.20000000001</v>
      </c>
      <c r="K33" s="2893">
        <v>259830.8</v>
      </c>
      <c r="L33" s="2893" t="s">
        <v>3247</v>
      </c>
      <c r="M33" s="2893" t="s">
        <v>2811</v>
      </c>
      <c r="N33" s="2893">
        <v>0</v>
      </c>
      <c r="O33" s="2893">
        <v>0</v>
      </c>
      <c r="P33" s="2893" t="s">
        <v>2811</v>
      </c>
      <c r="Q33" s="2893" t="s">
        <v>2811</v>
      </c>
      <c r="R33" s="2893" t="s">
        <v>2811</v>
      </c>
      <c r="S33" s="2893" t="s">
        <v>2811</v>
      </c>
      <c r="T33" s="2893" t="s">
        <v>3248</v>
      </c>
      <c r="U33" s="2893" t="s">
        <v>3170</v>
      </c>
      <c r="V33" s="2893" t="s">
        <v>2811</v>
      </c>
      <c r="W33" s="2893" t="s">
        <v>3160</v>
      </c>
      <c r="X33" s="2893" t="s">
        <v>3249</v>
      </c>
      <c r="Y33" s="2893" t="s">
        <v>3250</v>
      </c>
      <c r="Z33" s="2893" t="s">
        <v>3251</v>
      </c>
      <c r="AA33" s="2893" t="s">
        <v>3251</v>
      </c>
      <c r="AB33" s="2893" t="s">
        <v>3252</v>
      </c>
      <c r="AC33" s="2893" t="s">
        <v>3043</v>
      </c>
      <c r="AD33" s="2893" t="s">
        <v>3253</v>
      </c>
      <c r="AE33" s="2893">
        <v>185000</v>
      </c>
      <c r="AF33" s="2893">
        <v>370000</v>
      </c>
      <c r="AG33" s="2893">
        <v>468000</v>
      </c>
      <c r="AH33" s="2893">
        <v>1518.94</v>
      </c>
      <c r="AI33" s="2893">
        <v>1921.25</v>
      </c>
      <c r="AJ33" s="2893">
        <v>14240.03</v>
      </c>
      <c r="AK33" s="2893">
        <v>18011.72</v>
      </c>
      <c r="AL33" s="2893" t="s">
        <v>2811</v>
      </c>
      <c r="AM33" s="2893" t="s">
        <v>2811</v>
      </c>
      <c r="AN33" s="2893">
        <v>26.49</v>
      </c>
      <c r="AO33" s="2893" t="s">
        <v>3124</v>
      </c>
      <c r="AP33" s="2893" t="s">
        <v>2811</v>
      </c>
      <c r="AQ33" s="2893" t="s">
        <v>2811</v>
      </c>
      <c r="AR33" s="2893" t="s">
        <v>2811</v>
      </c>
      <c r="AS33" s="2893" t="s">
        <v>3064</v>
      </c>
    </row>
    <row r="34" spans="1:45" s="2893" customFormat="1">
      <c r="A34" s="2893" t="s">
        <v>3254</v>
      </c>
      <c r="B34" s="2893" t="s">
        <v>3026</v>
      </c>
      <c r="C34" s="2893" t="s">
        <v>3027</v>
      </c>
      <c r="D34" s="2893" t="s">
        <v>3028</v>
      </c>
      <c r="E34" s="2893" t="s">
        <v>2811</v>
      </c>
      <c r="F34" s="2893" t="s">
        <v>3255</v>
      </c>
      <c r="G34" s="2893" t="s">
        <v>3030</v>
      </c>
      <c r="H34" s="2893" t="s">
        <v>3256</v>
      </c>
      <c r="I34" s="2893" t="s">
        <v>3032</v>
      </c>
      <c r="J34" s="2893">
        <v>51158.25</v>
      </c>
      <c r="K34" s="2893">
        <v>92084.85</v>
      </c>
      <c r="L34" s="2893" t="s">
        <v>3257</v>
      </c>
      <c r="M34" s="2893" t="s">
        <v>2811</v>
      </c>
      <c r="N34" s="2893" t="s">
        <v>3055</v>
      </c>
      <c r="O34" s="2893">
        <v>0</v>
      </c>
      <c r="P34" s="2893" t="s">
        <v>2811</v>
      </c>
      <c r="Q34" s="2893" t="s">
        <v>2811</v>
      </c>
      <c r="R34" s="2893">
        <v>1200</v>
      </c>
      <c r="S34" s="2893" t="s">
        <v>2811</v>
      </c>
      <c r="T34" s="2893" t="s">
        <v>3248</v>
      </c>
      <c r="U34" s="2893" t="s">
        <v>3258</v>
      </c>
      <c r="V34" s="2893" t="s">
        <v>2811</v>
      </c>
      <c r="W34" s="2893" t="s">
        <v>3160</v>
      </c>
      <c r="X34" s="2893" t="s">
        <v>3259</v>
      </c>
      <c r="Y34" s="2893" t="s">
        <v>3260</v>
      </c>
      <c r="Z34" s="2893" t="s">
        <v>3261</v>
      </c>
      <c r="AA34" s="2893" t="s">
        <v>3261</v>
      </c>
      <c r="AB34" s="2893" t="s">
        <v>3262</v>
      </c>
      <c r="AC34" s="2893" t="s">
        <v>3043</v>
      </c>
      <c r="AD34" s="2893" t="s">
        <v>3263</v>
      </c>
      <c r="AE34" s="2893">
        <v>65000</v>
      </c>
      <c r="AF34" s="2893">
        <v>130000</v>
      </c>
      <c r="AG34" s="2893">
        <v>184000</v>
      </c>
      <c r="AH34" s="2893">
        <v>1694.09</v>
      </c>
      <c r="AI34" s="2893">
        <v>2397.79</v>
      </c>
      <c r="AJ34" s="2893">
        <v>14117.41</v>
      </c>
      <c r="AK34" s="2893">
        <v>19981.560000000001</v>
      </c>
      <c r="AL34" s="2893" t="s">
        <v>2811</v>
      </c>
      <c r="AM34" s="2893">
        <v>20245</v>
      </c>
      <c r="AN34" s="2893">
        <v>41.54</v>
      </c>
      <c r="AO34" s="2893" t="s">
        <v>3124</v>
      </c>
      <c r="AP34" s="2893" t="s">
        <v>2811</v>
      </c>
      <c r="AQ34" s="2893" t="s">
        <v>2811</v>
      </c>
      <c r="AR34" s="2893" t="s">
        <v>2811</v>
      </c>
      <c r="AS34" s="2893" t="s">
        <v>3064</v>
      </c>
    </row>
    <row r="35" spans="1:45" s="2893" customFormat="1">
      <c r="A35" s="2893" t="s">
        <v>3264</v>
      </c>
      <c r="B35" s="2893" t="s">
        <v>3026</v>
      </c>
      <c r="C35" s="2893" t="s">
        <v>3066</v>
      </c>
      <c r="D35" s="2893" t="s">
        <v>3028</v>
      </c>
      <c r="E35" s="2893" t="s">
        <v>2811</v>
      </c>
      <c r="F35" s="2893" t="s">
        <v>3264</v>
      </c>
      <c r="G35" s="2893" t="s">
        <v>3030</v>
      </c>
      <c r="H35" s="2893" t="s">
        <v>3265</v>
      </c>
      <c r="I35" s="2893" t="s">
        <v>3266</v>
      </c>
      <c r="J35" s="2893">
        <v>200633.60000000001</v>
      </c>
      <c r="K35" s="2893">
        <v>924920.9</v>
      </c>
      <c r="L35" s="2893" t="s">
        <v>3267</v>
      </c>
      <c r="M35" s="2893" t="s">
        <v>2811</v>
      </c>
      <c r="N35" s="2893" t="s">
        <v>2811</v>
      </c>
      <c r="O35" s="2893" t="s">
        <v>2811</v>
      </c>
      <c r="P35" s="2893" t="s">
        <v>2811</v>
      </c>
      <c r="Q35" s="2893" t="s">
        <v>2811</v>
      </c>
      <c r="R35" s="2893" t="s">
        <v>2811</v>
      </c>
      <c r="S35" s="2893" t="s">
        <v>2811</v>
      </c>
      <c r="T35" s="2893" t="s">
        <v>3248</v>
      </c>
      <c r="U35" s="2893" t="s">
        <v>3037</v>
      </c>
      <c r="V35" s="2893" t="s">
        <v>2811</v>
      </c>
      <c r="W35" s="2893" t="s">
        <v>3160</v>
      </c>
      <c r="X35" s="2893" t="s">
        <v>3268</v>
      </c>
      <c r="Y35" s="2893" t="s">
        <v>3269</v>
      </c>
      <c r="Z35" s="2893" t="s">
        <v>3270</v>
      </c>
      <c r="AA35" s="2893" t="s">
        <v>3270</v>
      </c>
      <c r="AB35" s="2893" t="s">
        <v>3271</v>
      </c>
      <c r="AC35" s="2893" t="s">
        <v>3043</v>
      </c>
      <c r="AD35" s="2893" t="s">
        <v>3272</v>
      </c>
      <c r="AE35" s="2893">
        <v>450000</v>
      </c>
      <c r="AF35" s="2893">
        <v>900000</v>
      </c>
      <c r="AG35" s="2893">
        <v>900000</v>
      </c>
      <c r="AH35" s="2893">
        <v>2990.53</v>
      </c>
      <c r="AI35" s="2893">
        <v>2990.53</v>
      </c>
      <c r="AJ35" s="2893">
        <v>9730.56</v>
      </c>
      <c r="AK35" s="2893">
        <v>9730.5499999999993</v>
      </c>
      <c r="AL35" s="2893" t="s">
        <v>2811</v>
      </c>
      <c r="AM35" s="2893" t="s">
        <v>2811</v>
      </c>
      <c r="AN35" s="2893">
        <v>0</v>
      </c>
      <c r="AO35" s="2893" t="s">
        <v>3113</v>
      </c>
      <c r="AP35" s="2893" t="s">
        <v>2811</v>
      </c>
      <c r="AQ35" s="2893" t="s">
        <v>2811</v>
      </c>
      <c r="AR35" s="2893" t="s">
        <v>2811</v>
      </c>
      <c r="AS35" s="2893" t="s">
        <v>3045</v>
      </c>
    </row>
    <row r="36" spans="1:45" s="2893" customFormat="1">
      <c r="A36" s="2893" t="s">
        <v>3273</v>
      </c>
      <c r="B36" s="2893" t="s">
        <v>3026</v>
      </c>
      <c r="C36" s="2893" t="s">
        <v>3027</v>
      </c>
      <c r="D36" s="2893" t="s">
        <v>3028</v>
      </c>
      <c r="E36" s="2893" t="s">
        <v>2811</v>
      </c>
      <c r="F36" s="2893" t="s">
        <v>3274</v>
      </c>
      <c r="G36" s="2893" t="s">
        <v>3030</v>
      </c>
      <c r="H36" s="2893" t="s">
        <v>3275</v>
      </c>
      <c r="I36" s="2893" t="s">
        <v>3276</v>
      </c>
      <c r="J36" s="2893">
        <v>100482.3</v>
      </c>
      <c r="K36" s="2893">
        <v>251205.7</v>
      </c>
      <c r="L36" s="2893" t="s">
        <v>3277</v>
      </c>
      <c r="M36" s="2893" t="s">
        <v>2811</v>
      </c>
      <c r="N36" s="2893" t="s">
        <v>3278</v>
      </c>
      <c r="O36" s="2893" t="s">
        <v>3062</v>
      </c>
      <c r="P36" s="2893" t="s">
        <v>2811</v>
      </c>
      <c r="Q36" s="2893" t="s">
        <v>2811</v>
      </c>
      <c r="R36" s="2893">
        <v>30400</v>
      </c>
      <c r="S36" s="2893" t="s">
        <v>2811</v>
      </c>
      <c r="T36" s="2893" t="s">
        <v>3248</v>
      </c>
      <c r="U36" s="2893" t="s">
        <v>3258</v>
      </c>
      <c r="V36" s="2893" t="s">
        <v>2811</v>
      </c>
      <c r="W36" s="2893" t="s">
        <v>3160</v>
      </c>
      <c r="X36" s="2893" t="s">
        <v>3279</v>
      </c>
      <c r="Y36" s="2893" t="s">
        <v>3280</v>
      </c>
      <c r="Z36" s="2893" t="s">
        <v>3281</v>
      </c>
      <c r="AA36" s="2893" t="s">
        <v>3281</v>
      </c>
      <c r="AB36" s="2893" t="s">
        <v>3282</v>
      </c>
      <c r="AC36" s="2893" t="s">
        <v>3043</v>
      </c>
      <c r="AD36" s="2893" t="s">
        <v>3283</v>
      </c>
      <c r="AE36" s="2893">
        <v>175000</v>
      </c>
      <c r="AF36" s="2893">
        <v>350000</v>
      </c>
      <c r="AG36" s="2893">
        <v>498000</v>
      </c>
      <c r="AH36" s="2893">
        <v>2322.13</v>
      </c>
      <c r="AI36" s="2893">
        <v>3304.06</v>
      </c>
      <c r="AJ36" s="2893">
        <v>13932.8</v>
      </c>
      <c r="AK36" s="2893">
        <v>19824.38</v>
      </c>
      <c r="AL36" s="2893" t="s">
        <v>2811</v>
      </c>
      <c r="AM36" s="2893">
        <v>22554</v>
      </c>
      <c r="AN36" s="2893">
        <v>42.29</v>
      </c>
      <c r="AO36" s="2893">
        <v>70</v>
      </c>
      <c r="AP36" s="2893" t="s">
        <v>2811</v>
      </c>
      <c r="AQ36" s="2893" t="s">
        <v>2811</v>
      </c>
      <c r="AR36" s="2893" t="s">
        <v>2811</v>
      </c>
      <c r="AS36" s="2893" t="s">
        <v>3045</v>
      </c>
    </row>
    <row r="37" spans="1:45" s="2893" customFormat="1">
      <c r="A37" s="2893" t="s">
        <v>3284</v>
      </c>
      <c r="B37" s="2893" t="s">
        <v>3026</v>
      </c>
      <c r="C37" s="2893" t="s">
        <v>3066</v>
      </c>
      <c r="D37" s="2893" t="s">
        <v>3028</v>
      </c>
      <c r="E37" s="2893" t="s">
        <v>2811</v>
      </c>
      <c r="F37" s="2893" t="s">
        <v>3285</v>
      </c>
      <c r="G37" s="2893" t="s">
        <v>3030</v>
      </c>
      <c r="H37" s="2893" t="s">
        <v>3286</v>
      </c>
      <c r="I37" s="2893" t="s">
        <v>3287</v>
      </c>
      <c r="J37" s="2893">
        <v>127381.8</v>
      </c>
      <c r="K37" s="2893">
        <v>228013.4</v>
      </c>
      <c r="L37" s="2893" t="s">
        <v>3288</v>
      </c>
      <c r="M37" s="2893" t="s">
        <v>2811</v>
      </c>
      <c r="N37" s="2893">
        <v>0</v>
      </c>
      <c r="O37" s="2893">
        <v>0</v>
      </c>
      <c r="P37" s="2893" t="s">
        <v>2811</v>
      </c>
      <c r="Q37" s="2893" t="s">
        <v>2811</v>
      </c>
      <c r="R37" s="2893" t="s">
        <v>2811</v>
      </c>
      <c r="S37" s="2893" t="s">
        <v>2811</v>
      </c>
      <c r="T37" s="2893" t="s">
        <v>2811</v>
      </c>
      <c r="U37" s="2893" t="s">
        <v>2811</v>
      </c>
      <c r="V37" s="2893" t="s">
        <v>2811</v>
      </c>
      <c r="W37" s="2893" t="s">
        <v>3160</v>
      </c>
      <c r="X37" s="2893" t="s">
        <v>3279</v>
      </c>
      <c r="Y37" s="2893" t="s">
        <v>3280</v>
      </c>
      <c r="Z37" s="2893" t="s">
        <v>3281</v>
      </c>
      <c r="AA37" s="2893" t="s">
        <v>3281</v>
      </c>
      <c r="AB37" s="2893" t="s">
        <v>3289</v>
      </c>
      <c r="AC37" s="2893" t="s">
        <v>3043</v>
      </c>
      <c r="AD37" s="2893" t="s">
        <v>3290</v>
      </c>
      <c r="AE37" s="2893">
        <v>65000</v>
      </c>
      <c r="AF37" s="2893">
        <v>130000</v>
      </c>
      <c r="AG37" s="2893">
        <v>170000</v>
      </c>
      <c r="AH37" s="2893">
        <v>680.37</v>
      </c>
      <c r="AI37" s="2893">
        <v>889.71</v>
      </c>
      <c r="AJ37" s="2893">
        <v>5701.41</v>
      </c>
      <c r="AK37" s="2893">
        <v>7455.69</v>
      </c>
      <c r="AL37" s="2893" t="s">
        <v>2811</v>
      </c>
      <c r="AM37" s="2893" t="s">
        <v>2811</v>
      </c>
      <c r="AN37" s="2893">
        <v>30.77</v>
      </c>
      <c r="AO37" s="2893">
        <v>70</v>
      </c>
      <c r="AP37" s="2893" t="s">
        <v>2811</v>
      </c>
      <c r="AQ37" s="2893" t="s">
        <v>2811</v>
      </c>
      <c r="AR37" s="2893" t="s">
        <v>2811</v>
      </c>
      <c r="AS37" s="2893" t="s">
        <v>3102</v>
      </c>
    </row>
    <row r="38" spans="1:45" s="2893" customFormat="1">
      <c r="A38" s="2893" t="s">
        <v>3291</v>
      </c>
      <c r="B38" s="2893" t="s">
        <v>3026</v>
      </c>
      <c r="C38" s="2893" t="s">
        <v>3066</v>
      </c>
      <c r="D38" s="2893" t="s">
        <v>3028</v>
      </c>
      <c r="E38" s="2893" t="s">
        <v>2811</v>
      </c>
      <c r="F38" s="2893" t="s">
        <v>3292</v>
      </c>
      <c r="G38" s="2893" t="s">
        <v>3030</v>
      </c>
      <c r="H38" s="2893" t="s">
        <v>3293</v>
      </c>
      <c r="I38" s="2893" t="s">
        <v>3287</v>
      </c>
      <c r="J38" s="2893">
        <v>68643.539999999994</v>
      </c>
      <c r="K38" s="2893">
        <v>154448</v>
      </c>
      <c r="L38" s="2893" t="s">
        <v>3294</v>
      </c>
      <c r="M38" s="2893" t="s">
        <v>2811</v>
      </c>
      <c r="N38" s="2893">
        <v>0</v>
      </c>
      <c r="O38" s="2893">
        <v>0</v>
      </c>
      <c r="P38" s="2893" t="s">
        <v>2811</v>
      </c>
      <c r="Q38" s="2893" t="s">
        <v>2811</v>
      </c>
      <c r="R38" s="2893">
        <v>6200</v>
      </c>
      <c r="S38" s="2893" t="s">
        <v>2811</v>
      </c>
      <c r="T38" s="2893" t="s">
        <v>3248</v>
      </c>
      <c r="U38" s="2893" t="s">
        <v>3258</v>
      </c>
      <c r="V38" s="2893" t="s">
        <v>2811</v>
      </c>
      <c r="W38" s="2893" t="s">
        <v>3160</v>
      </c>
      <c r="X38" s="2893" t="s">
        <v>3279</v>
      </c>
      <c r="Y38" s="2893" t="s">
        <v>3280</v>
      </c>
      <c r="Z38" s="2893" t="s">
        <v>3281</v>
      </c>
      <c r="AA38" s="2893" t="s">
        <v>3281</v>
      </c>
      <c r="AB38" s="2893" t="s">
        <v>3295</v>
      </c>
      <c r="AC38" s="2893" t="s">
        <v>3043</v>
      </c>
      <c r="AD38" s="2893" t="s">
        <v>3296</v>
      </c>
      <c r="AE38" s="2893">
        <v>62000</v>
      </c>
      <c r="AF38" s="2893">
        <v>124000</v>
      </c>
      <c r="AG38" s="2893">
        <v>231000</v>
      </c>
      <c r="AH38" s="2893">
        <v>1204.29</v>
      </c>
      <c r="AI38" s="2893">
        <v>2243.4699999999998</v>
      </c>
      <c r="AJ38" s="2893">
        <v>8028.59</v>
      </c>
      <c r="AK38" s="2893">
        <v>14956.48</v>
      </c>
      <c r="AL38" s="2893" t="s">
        <v>2811</v>
      </c>
      <c r="AM38" s="2893">
        <v>15582</v>
      </c>
      <c r="AN38" s="2893">
        <v>86.29</v>
      </c>
      <c r="AO38" s="2893">
        <v>70</v>
      </c>
      <c r="AP38" s="2893" t="s">
        <v>2811</v>
      </c>
      <c r="AQ38" s="2893" t="s">
        <v>2811</v>
      </c>
      <c r="AR38" s="2893" t="s">
        <v>2811</v>
      </c>
      <c r="AS38" s="2893" t="s">
        <v>3064</v>
      </c>
    </row>
    <row r="39" spans="1:45" s="2893" customFormat="1">
      <c r="A39" s="2893" t="s">
        <v>3297</v>
      </c>
      <c r="B39" s="2893" t="s">
        <v>3026</v>
      </c>
      <c r="C39" s="2893" t="s">
        <v>3027</v>
      </c>
      <c r="D39" s="2893" t="s">
        <v>3028</v>
      </c>
      <c r="E39" s="2893" t="s">
        <v>2811</v>
      </c>
      <c r="F39" s="2893" t="s">
        <v>3298</v>
      </c>
      <c r="G39" s="2893" t="s">
        <v>3030</v>
      </c>
      <c r="H39" s="2893" t="s">
        <v>3299</v>
      </c>
      <c r="I39" s="2893" t="s">
        <v>3276</v>
      </c>
      <c r="J39" s="2893">
        <v>83377.37</v>
      </c>
      <c r="K39" s="2893">
        <v>208443.4</v>
      </c>
      <c r="L39" s="2893" t="s">
        <v>3277</v>
      </c>
      <c r="M39" s="2893" t="s">
        <v>2811</v>
      </c>
      <c r="N39" s="2893" t="s">
        <v>3278</v>
      </c>
      <c r="O39" s="2893" t="s">
        <v>3062</v>
      </c>
      <c r="P39" s="2893" t="s">
        <v>2811</v>
      </c>
      <c r="Q39" s="2893" t="s">
        <v>2811</v>
      </c>
      <c r="R39" s="2893">
        <v>22600</v>
      </c>
      <c r="S39" s="2893" t="s">
        <v>2811</v>
      </c>
      <c r="T39" s="2893" t="s">
        <v>3248</v>
      </c>
      <c r="U39" s="2893" t="s">
        <v>3258</v>
      </c>
      <c r="V39" s="2893" t="s">
        <v>2811</v>
      </c>
      <c r="W39" s="2893" t="s">
        <v>3160</v>
      </c>
      <c r="X39" s="2893" t="s">
        <v>3279</v>
      </c>
      <c r="Y39" s="2893" t="s">
        <v>3280</v>
      </c>
      <c r="Z39" s="2893" t="s">
        <v>3281</v>
      </c>
      <c r="AA39" s="2893" t="s">
        <v>3281</v>
      </c>
      <c r="AB39" s="2893" t="s">
        <v>3300</v>
      </c>
      <c r="AC39" s="2893" t="s">
        <v>3043</v>
      </c>
      <c r="AD39" s="2893" t="s">
        <v>3301</v>
      </c>
      <c r="AE39" s="2893">
        <v>145000</v>
      </c>
      <c r="AF39" s="2893">
        <v>290000</v>
      </c>
      <c r="AG39" s="2893">
        <v>415000</v>
      </c>
      <c r="AH39" s="2893">
        <v>2318.77</v>
      </c>
      <c r="AI39" s="2893">
        <v>3318.25</v>
      </c>
      <c r="AJ39" s="2893">
        <v>13912.64</v>
      </c>
      <c r="AK39" s="2893">
        <v>19909.47</v>
      </c>
      <c r="AL39" s="2893" t="s">
        <v>2811</v>
      </c>
      <c r="AM39" s="2893">
        <v>22331</v>
      </c>
      <c r="AN39" s="2893">
        <v>43.1</v>
      </c>
      <c r="AO39" s="2893">
        <v>70</v>
      </c>
      <c r="AP39" s="2893" t="s">
        <v>2811</v>
      </c>
      <c r="AQ39" s="2893" t="s">
        <v>2811</v>
      </c>
      <c r="AR39" s="2893" t="s">
        <v>2811</v>
      </c>
      <c r="AS39" s="2893" t="s">
        <v>3045</v>
      </c>
    </row>
    <row r="40" spans="1:45" s="2893" customFormat="1">
      <c r="A40" s="2893" t="s">
        <v>3302</v>
      </c>
      <c r="B40" s="2893" t="s">
        <v>3026</v>
      </c>
      <c r="C40" s="2893" t="s">
        <v>3027</v>
      </c>
      <c r="D40" s="2893" t="s">
        <v>3028</v>
      </c>
      <c r="E40" s="2893" t="s">
        <v>2811</v>
      </c>
      <c r="F40" s="2893" t="s">
        <v>3302</v>
      </c>
      <c r="G40" s="2893" t="s">
        <v>3030</v>
      </c>
      <c r="H40" s="2893" t="s">
        <v>3303</v>
      </c>
      <c r="I40" s="2893" t="s">
        <v>3032</v>
      </c>
      <c r="J40" s="2893">
        <v>58455.3</v>
      </c>
      <c r="K40" s="2893">
        <v>128601.7</v>
      </c>
      <c r="L40" s="2893" t="s">
        <v>3190</v>
      </c>
      <c r="M40" s="2893" t="s">
        <v>2811</v>
      </c>
      <c r="N40" s="2893" t="s">
        <v>3304</v>
      </c>
      <c r="O40" s="2893" t="s">
        <v>3305</v>
      </c>
      <c r="P40" s="2893" t="s">
        <v>2811</v>
      </c>
      <c r="Q40" s="2893" t="s">
        <v>2811</v>
      </c>
      <c r="R40" s="2893" t="s">
        <v>2811</v>
      </c>
      <c r="S40" s="2893" t="s">
        <v>2811</v>
      </c>
      <c r="T40" s="2893" t="s">
        <v>3170</v>
      </c>
      <c r="U40" s="2893" t="s">
        <v>3170</v>
      </c>
      <c r="V40" s="2893" t="s">
        <v>2811</v>
      </c>
      <c r="W40" s="2893" t="s">
        <v>3160</v>
      </c>
      <c r="X40" s="2893" t="s">
        <v>3306</v>
      </c>
      <c r="Y40" s="2893" t="s">
        <v>3307</v>
      </c>
      <c r="Z40" s="2893" t="s">
        <v>3308</v>
      </c>
      <c r="AA40" s="2893" t="s">
        <v>3308</v>
      </c>
      <c r="AB40" s="2893" t="s">
        <v>3309</v>
      </c>
      <c r="AC40" s="2893" t="s">
        <v>3043</v>
      </c>
      <c r="AD40" s="2893" t="s">
        <v>3310</v>
      </c>
      <c r="AE40" s="2893">
        <v>89000</v>
      </c>
      <c r="AF40" s="2893">
        <v>178000</v>
      </c>
      <c r="AG40" s="2893">
        <v>296000</v>
      </c>
      <c r="AH40" s="2893">
        <v>2030.04</v>
      </c>
      <c r="AI40" s="2893">
        <v>3375.8</v>
      </c>
      <c r="AJ40" s="2893">
        <v>13841.18</v>
      </c>
      <c r="AK40" s="2893">
        <v>23016.79</v>
      </c>
      <c r="AL40" s="2893" t="s">
        <v>2811</v>
      </c>
      <c r="AM40" s="2893" t="s">
        <v>2811</v>
      </c>
      <c r="AN40" s="2893">
        <v>66.290000000000006</v>
      </c>
      <c r="AO40" s="2893" t="s">
        <v>3124</v>
      </c>
      <c r="AP40" s="2893" t="s">
        <v>2811</v>
      </c>
      <c r="AQ40" s="2893" t="s">
        <v>2811</v>
      </c>
      <c r="AR40" s="2893" t="s">
        <v>2811</v>
      </c>
      <c r="AS40" s="2893" t="s">
        <v>3078</v>
      </c>
    </row>
    <row r="41" spans="1:45" s="2893" customFormat="1">
      <c r="A41" s="2893" t="s">
        <v>3311</v>
      </c>
      <c r="B41" s="2893" t="s">
        <v>3026</v>
      </c>
      <c r="C41" s="2893" t="s">
        <v>3027</v>
      </c>
      <c r="D41" s="2893" t="s">
        <v>3028</v>
      </c>
      <c r="E41" s="2893" t="s">
        <v>2811</v>
      </c>
      <c r="F41" s="2893" t="s">
        <v>3311</v>
      </c>
      <c r="G41" s="2893" t="s">
        <v>3030</v>
      </c>
      <c r="H41" s="2893" t="s">
        <v>3312</v>
      </c>
      <c r="I41" s="2893" t="s">
        <v>3032</v>
      </c>
      <c r="J41" s="2893">
        <v>20227.72</v>
      </c>
      <c r="K41" s="2893">
        <v>40455.440000000002</v>
      </c>
      <c r="L41" s="2893" t="s">
        <v>3313</v>
      </c>
      <c r="M41" s="2893" t="s">
        <v>2811</v>
      </c>
      <c r="N41" s="2893" t="s">
        <v>3314</v>
      </c>
      <c r="O41" s="2893" t="s">
        <v>3315</v>
      </c>
      <c r="P41" s="2893" t="s">
        <v>2811</v>
      </c>
      <c r="Q41" s="2893" t="s">
        <v>2811</v>
      </c>
      <c r="R41" s="2893" t="s">
        <v>2811</v>
      </c>
      <c r="S41" s="2893" t="s">
        <v>2811</v>
      </c>
      <c r="T41" s="2893" t="s">
        <v>3170</v>
      </c>
      <c r="U41" s="2893" t="s">
        <v>3170</v>
      </c>
      <c r="V41" s="2893" t="s">
        <v>2811</v>
      </c>
      <c r="W41" s="2893" t="s">
        <v>3160</v>
      </c>
      <c r="X41" s="2893" t="s">
        <v>3306</v>
      </c>
      <c r="Y41" s="2893" t="s">
        <v>3307</v>
      </c>
      <c r="Z41" s="2893" t="s">
        <v>3308</v>
      </c>
      <c r="AA41" s="2893" t="s">
        <v>3308</v>
      </c>
      <c r="AB41" s="2893" t="s">
        <v>3316</v>
      </c>
      <c r="AC41" s="2893" t="s">
        <v>3043</v>
      </c>
      <c r="AD41" s="2893" t="s">
        <v>3317</v>
      </c>
      <c r="AE41" s="2893">
        <v>28000</v>
      </c>
      <c r="AF41" s="2893">
        <v>56000</v>
      </c>
      <c r="AG41" s="2893">
        <v>94000</v>
      </c>
      <c r="AH41" s="2893">
        <v>1845.65</v>
      </c>
      <c r="AI41" s="2893">
        <v>3098.06</v>
      </c>
      <c r="AJ41" s="2893">
        <v>13842.39</v>
      </c>
      <c r="AK41" s="2893">
        <v>23235.43</v>
      </c>
      <c r="AL41" s="2893" t="s">
        <v>2811</v>
      </c>
      <c r="AM41" s="2893" t="s">
        <v>2811</v>
      </c>
      <c r="AN41" s="2893">
        <v>67.86</v>
      </c>
      <c r="AO41" s="2893" t="s">
        <v>3124</v>
      </c>
      <c r="AP41" s="2893" t="s">
        <v>2811</v>
      </c>
      <c r="AQ41" s="2893" t="s">
        <v>2811</v>
      </c>
      <c r="AR41" s="2893" t="s">
        <v>2811</v>
      </c>
      <c r="AS41" s="2893" t="s">
        <v>3078</v>
      </c>
    </row>
    <row r="42" spans="1:45" s="2893" customFormat="1">
      <c r="A42" s="2893" t="s">
        <v>3318</v>
      </c>
      <c r="B42" s="2893" t="s">
        <v>3026</v>
      </c>
      <c r="C42" s="2893" t="s">
        <v>3027</v>
      </c>
      <c r="D42" s="2893" t="s">
        <v>3028</v>
      </c>
      <c r="E42" s="2893" t="s">
        <v>2811</v>
      </c>
      <c r="F42" s="2893" t="s">
        <v>3318</v>
      </c>
      <c r="G42" s="2893" t="s">
        <v>3030</v>
      </c>
      <c r="H42" s="2893" t="s">
        <v>3319</v>
      </c>
      <c r="I42" s="2893" t="s">
        <v>3157</v>
      </c>
      <c r="J42" s="2893">
        <v>44783.85</v>
      </c>
      <c r="K42" s="2893">
        <v>98524.47</v>
      </c>
      <c r="L42" s="2893" t="s">
        <v>3320</v>
      </c>
      <c r="M42" s="2893" t="s">
        <v>2811</v>
      </c>
      <c r="N42" s="2893" t="s">
        <v>3304</v>
      </c>
      <c r="O42" s="2893" t="s">
        <v>3321</v>
      </c>
      <c r="P42" s="2893" t="s">
        <v>2811</v>
      </c>
      <c r="Q42" s="2893" t="s">
        <v>2811</v>
      </c>
      <c r="R42" s="2893" t="s">
        <v>2811</v>
      </c>
      <c r="S42" s="2893" t="s">
        <v>2811</v>
      </c>
      <c r="T42" s="2893" t="s">
        <v>3170</v>
      </c>
      <c r="U42" s="2893" t="s">
        <v>3037</v>
      </c>
      <c r="V42" s="2893" t="s">
        <v>2811</v>
      </c>
      <c r="W42" s="2893" t="s">
        <v>3160</v>
      </c>
      <c r="X42" s="2893" t="s">
        <v>3322</v>
      </c>
      <c r="Y42" s="2893" t="s">
        <v>3323</v>
      </c>
      <c r="Z42" s="2893" t="s">
        <v>3324</v>
      </c>
      <c r="AA42" s="2893" t="s">
        <v>3324</v>
      </c>
      <c r="AB42" s="2893" t="s">
        <v>3325</v>
      </c>
      <c r="AC42" s="2893" t="s">
        <v>3043</v>
      </c>
      <c r="AD42" s="2893" t="s">
        <v>3326</v>
      </c>
      <c r="AE42" s="2893">
        <v>40000</v>
      </c>
      <c r="AF42" s="2893">
        <v>100000</v>
      </c>
      <c r="AG42" s="2893">
        <v>102000</v>
      </c>
      <c r="AH42" s="2893">
        <v>1488.63</v>
      </c>
      <c r="AI42" s="2893">
        <v>1518.4</v>
      </c>
      <c r="AJ42" s="2893">
        <v>10149.76</v>
      </c>
      <c r="AK42" s="2893">
        <v>10352.76</v>
      </c>
      <c r="AL42" s="2893" t="s">
        <v>2811</v>
      </c>
      <c r="AM42" s="2893" t="s">
        <v>2811</v>
      </c>
      <c r="AN42" s="2893">
        <v>2</v>
      </c>
      <c r="AO42" s="2893" t="s">
        <v>3124</v>
      </c>
      <c r="AP42" s="2893" t="s">
        <v>2811</v>
      </c>
      <c r="AQ42" s="2893" t="s">
        <v>2811</v>
      </c>
      <c r="AR42" s="2893" t="s">
        <v>2811</v>
      </c>
      <c r="AS42" s="2893" t="s">
        <v>3078</v>
      </c>
    </row>
    <row r="43" spans="1:45" s="2893" customFormat="1">
      <c r="A43" s="2893" t="s">
        <v>3327</v>
      </c>
      <c r="B43" s="2893" t="s">
        <v>3026</v>
      </c>
      <c r="C43" s="2893" t="s">
        <v>3066</v>
      </c>
      <c r="D43" s="2893" t="s">
        <v>3028</v>
      </c>
      <c r="E43" s="2893" t="s">
        <v>2811</v>
      </c>
      <c r="F43" s="2893" t="s">
        <v>3327</v>
      </c>
      <c r="G43" s="2893" t="s">
        <v>3030</v>
      </c>
      <c r="H43" s="2893" t="s">
        <v>3328</v>
      </c>
      <c r="I43" s="2893" t="s">
        <v>3157</v>
      </c>
      <c r="J43" s="2893">
        <v>31525.46</v>
      </c>
      <c r="K43" s="2893">
        <v>94576.38</v>
      </c>
      <c r="L43" s="2893" t="s">
        <v>3329</v>
      </c>
      <c r="M43" s="2893" t="s">
        <v>2811</v>
      </c>
      <c r="N43" s="2893" t="s">
        <v>3034</v>
      </c>
      <c r="O43" s="2893" t="s">
        <v>3330</v>
      </c>
      <c r="P43" s="2893" t="s">
        <v>2811</v>
      </c>
      <c r="Q43" s="2893" t="s">
        <v>2811</v>
      </c>
      <c r="R43" s="2893" t="s">
        <v>2811</v>
      </c>
      <c r="S43" s="2893" t="s">
        <v>2811</v>
      </c>
      <c r="T43" s="2893" t="s">
        <v>3170</v>
      </c>
      <c r="U43" s="2893" t="s">
        <v>3170</v>
      </c>
      <c r="V43" s="2893" t="s">
        <v>2811</v>
      </c>
      <c r="W43" s="2893" t="s">
        <v>3160</v>
      </c>
      <c r="X43" s="2893" t="s">
        <v>3331</v>
      </c>
      <c r="Y43" s="2893" t="s">
        <v>3332</v>
      </c>
      <c r="Z43" s="2893" t="s">
        <v>3333</v>
      </c>
      <c r="AA43" s="2893" t="s">
        <v>3333</v>
      </c>
      <c r="AB43" s="2893" t="s">
        <v>3334</v>
      </c>
      <c r="AC43" s="2893" t="s">
        <v>3043</v>
      </c>
      <c r="AD43" s="2893" t="s">
        <v>3335</v>
      </c>
      <c r="AE43" s="2893">
        <v>28500</v>
      </c>
      <c r="AF43" s="2893">
        <v>95000</v>
      </c>
      <c r="AG43" s="2893">
        <v>185000</v>
      </c>
      <c r="AH43" s="2893">
        <v>2008.96</v>
      </c>
      <c r="AI43" s="2893">
        <v>3912.18</v>
      </c>
      <c r="AJ43" s="2893">
        <v>10044.790000000001</v>
      </c>
      <c r="AK43" s="2893">
        <v>19560.900000000001</v>
      </c>
      <c r="AL43" s="2893" t="s">
        <v>2811</v>
      </c>
      <c r="AM43" s="2893" t="s">
        <v>2811</v>
      </c>
      <c r="AN43" s="2893">
        <v>94.74</v>
      </c>
      <c r="AO43" s="2893" t="s">
        <v>3124</v>
      </c>
      <c r="AP43" s="2893" t="s">
        <v>2811</v>
      </c>
      <c r="AQ43" s="2893" t="s">
        <v>2811</v>
      </c>
      <c r="AR43" s="2893" t="s">
        <v>2811</v>
      </c>
      <c r="AS43" s="2893" t="s">
        <v>3078</v>
      </c>
    </row>
    <row r="44" spans="1:45" s="2893" customFormat="1">
      <c r="A44" s="2893" t="s">
        <v>3336</v>
      </c>
      <c r="B44" s="2893" t="s">
        <v>3026</v>
      </c>
      <c r="C44" s="2893" t="s">
        <v>3066</v>
      </c>
      <c r="D44" s="2893" t="s">
        <v>3028</v>
      </c>
      <c r="E44" s="2893" t="s">
        <v>2811</v>
      </c>
      <c r="F44" s="2893" t="s">
        <v>3336</v>
      </c>
      <c r="G44" s="2893" t="s">
        <v>3030</v>
      </c>
      <c r="H44" s="2893" t="s">
        <v>3337</v>
      </c>
      <c r="I44" s="2893" t="s">
        <v>3338</v>
      </c>
      <c r="J44" s="2893">
        <v>39889.64</v>
      </c>
      <c r="K44" s="2893">
        <v>80663.31</v>
      </c>
      <c r="L44" s="2893" t="s">
        <v>3339</v>
      </c>
      <c r="M44" s="2893" t="s">
        <v>2811</v>
      </c>
      <c r="N44" s="2893" t="s">
        <v>2811</v>
      </c>
      <c r="O44" s="2893" t="s">
        <v>2811</v>
      </c>
      <c r="P44" s="2893" t="s">
        <v>2811</v>
      </c>
      <c r="Q44" s="2893" t="s">
        <v>2811</v>
      </c>
      <c r="R44" s="2893" t="s">
        <v>2811</v>
      </c>
      <c r="S44" s="2893" t="s">
        <v>2811</v>
      </c>
      <c r="T44" s="2893" t="s">
        <v>3170</v>
      </c>
      <c r="U44" s="2893" t="s">
        <v>3170</v>
      </c>
      <c r="V44" s="2893" t="s">
        <v>2811</v>
      </c>
      <c r="W44" s="2893" t="s">
        <v>3160</v>
      </c>
      <c r="X44" s="2893" t="s">
        <v>3331</v>
      </c>
      <c r="Y44" s="2893" t="s">
        <v>3332</v>
      </c>
      <c r="Z44" s="2893" t="s">
        <v>3333</v>
      </c>
      <c r="AA44" s="2893" t="s">
        <v>3333</v>
      </c>
      <c r="AB44" s="2893" t="s">
        <v>3340</v>
      </c>
      <c r="AC44" s="2893" t="s">
        <v>3043</v>
      </c>
      <c r="AD44" s="2893" t="s">
        <v>3341</v>
      </c>
      <c r="AE44" s="2893">
        <v>31500</v>
      </c>
      <c r="AF44" s="2893">
        <v>105000</v>
      </c>
      <c r="AG44" s="2893">
        <v>186000</v>
      </c>
      <c r="AH44" s="2893">
        <v>1754.84</v>
      </c>
      <c r="AI44" s="2893">
        <v>3108.58</v>
      </c>
      <c r="AJ44" s="2893">
        <v>13017.06</v>
      </c>
      <c r="AK44" s="2893">
        <v>23058.81</v>
      </c>
      <c r="AL44" s="2893" t="s">
        <v>2811</v>
      </c>
      <c r="AM44" s="2893" t="s">
        <v>2811</v>
      </c>
      <c r="AN44" s="2893">
        <v>77.14</v>
      </c>
      <c r="AO44" s="2893" t="s">
        <v>3342</v>
      </c>
      <c r="AP44" s="2893" t="s">
        <v>2811</v>
      </c>
      <c r="AQ44" s="2893" t="s">
        <v>2811</v>
      </c>
      <c r="AR44" s="2893" t="s">
        <v>2811</v>
      </c>
      <c r="AS44" s="2893" t="s">
        <v>3078</v>
      </c>
    </row>
    <row r="45" spans="1:45" s="2893" customFormat="1">
      <c r="A45" s="2893" t="s">
        <v>3343</v>
      </c>
      <c r="B45" s="2893" t="s">
        <v>3026</v>
      </c>
      <c r="C45" s="2893" t="s">
        <v>3027</v>
      </c>
      <c r="D45" s="2893" t="s">
        <v>3028</v>
      </c>
      <c r="E45" s="2893" t="s">
        <v>2811</v>
      </c>
      <c r="F45" s="2893" t="s">
        <v>3343</v>
      </c>
      <c r="G45" s="2893" t="s">
        <v>3030</v>
      </c>
      <c r="H45" s="2893" t="s">
        <v>3344</v>
      </c>
      <c r="I45" s="2893" t="s">
        <v>3157</v>
      </c>
      <c r="J45" s="2893">
        <v>56850.68</v>
      </c>
      <c r="K45" s="2893">
        <v>142126.70000000001</v>
      </c>
      <c r="L45" s="2893" t="s">
        <v>3345</v>
      </c>
      <c r="M45" s="2893" t="s">
        <v>2811</v>
      </c>
      <c r="N45" s="2893" t="s">
        <v>3034</v>
      </c>
      <c r="O45" s="2893" t="s">
        <v>3346</v>
      </c>
      <c r="P45" s="2893" t="s">
        <v>2811</v>
      </c>
      <c r="Q45" s="2893" t="s">
        <v>2811</v>
      </c>
      <c r="R45" s="2893" t="s">
        <v>2811</v>
      </c>
      <c r="S45" s="2893" t="s">
        <v>2811</v>
      </c>
      <c r="T45" s="2893" t="s">
        <v>3170</v>
      </c>
      <c r="U45" s="2893" t="s">
        <v>3170</v>
      </c>
      <c r="V45" s="2893" t="s">
        <v>2811</v>
      </c>
      <c r="W45" s="2893" t="s">
        <v>3347</v>
      </c>
      <c r="X45" s="2893" t="s">
        <v>3348</v>
      </c>
      <c r="Y45" s="2893" t="s">
        <v>3349</v>
      </c>
      <c r="Z45" s="2893" t="s">
        <v>3350</v>
      </c>
      <c r="AA45" s="2893" t="s">
        <v>3350</v>
      </c>
      <c r="AB45" s="2893" t="s">
        <v>3351</v>
      </c>
      <c r="AC45" s="2893" t="s">
        <v>3043</v>
      </c>
      <c r="AD45" s="2893" t="s">
        <v>3352</v>
      </c>
      <c r="AE45" s="2893">
        <v>40000</v>
      </c>
      <c r="AF45" s="2893">
        <v>200000</v>
      </c>
      <c r="AG45" s="2893">
        <v>318000</v>
      </c>
      <c r="AH45" s="2893">
        <v>2345.33</v>
      </c>
      <c r="AI45" s="2893">
        <v>3729.07</v>
      </c>
      <c r="AJ45" s="2893">
        <v>14071.95</v>
      </c>
      <c r="AK45" s="2893">
        <v>22374.400000000001</v>
      </c>
      <c r="AL45" s="2893" t="s">
        <v>2811</v>
      </c>
      <c r="AM45" s="2893" t="s">
        <v>2811</v>
      </c>
      <c r="AN45" s="2893">
        <v>59</v>
      </c>
      <c r="AO45" s="2893" t="s">
        <v>3124</v>
      </c>
      <c r="AP45" s="2893" t="s">
        <v>2811</v>
      </c>
      <c r="AQ45" s="2893" t="s">
        <v>2811</v>
      </c>
      <c r="AR45" s="2893" t="s">
        <v>2811</v>
      </c>
      <c r="AS45" s="2893" t="s">
        <v>3078</v>
      </c>
    </row>
    <row r="46" spans="1:45" s="2893" customFormat="1">
      <c r="A46" s="2893" t="s">
        <v>3353</v>
      </c>
      <c r="B46" s="2893" t="s">
        <v>3026</v>
      </c>
      <c r="C46" s="2893" t="s">
        <v>3027</v>
      </c>
      <c r="D46" s="2893" t="s">
        <v>3028</v>
      </c>
      <c r="E46" s="2893" t="s">
        <v>2811</v>
      </c>
      <c r="F46" s="2893" t="s">
        <v>3353</v>
      </c>
      <c r="G46" s="2893" t="s">
        <v>3030</v>
      </c>
      <c r="H46" s="2893" t="s">
        <v>3354</v>
      </c>
      <c r="I46" s="2893" t="s">
        <v>3157</v>
      </c>
      <c r="J46" s="2893">
        <v>64938.57</v>
      </c>
      <c r="K46" s="2893">
        <v>90914</v>
      </c>
      <c r="L46" s="2893" t="s">
        <v>3355</v>
      </c>
      <c r="M46" s="2893" t="s">
        <v>2811</v>
      </c>
      <c r="N46" s="2893" t="s">
        <v>3055</v>
      </c>
      <c r="O46" s="2893" t="s">
        <v>3356</v>
      </c>
      <c r="P46" s="2893" t="s">
        <v>2811</v>
      </c>
      <c r="Q46" s="2893" t="s">
        <v>2811</v>
      </c>
      <c r="R46" s="2893" t="s">
        <v>2811</v>
      </c>
      <c r="S46" s="2893" t="s">
        <v>2811</v>
      </c>
      <c r="T46" s="2893" t="s">
        <v>3170</v>
      </c>
      <c r="U46" s="2893" t="s">
        <v>3170</v>
      </c>
      <c r="V46" s="2893" t="s">
        <v>2811</v>
      </c>
      <c r="W46" s="2893" t="s">
        <v>3347</v>
      </c>
      <c r="X46" s="2893" t="s">
        <v>3348</v>
      </c>
      <c r="Y46" s="2893" t="s">
        <v>3349</v>
      </c>
      <c r="Z46" s="2893" t="s">
        <v>3350</v>
      </c>
      <c r="AA46" s="2893" t="s">
        <v>3350</v>
      </c>
      <c r="AB46" s="2893" t="s">
        <v>3357</v>
      </c>
      <c r="AC46" s="2893" t="s">
        <v>3043</v>
      </c>
      <c r="AD46" s="2893" t="s">
        <v>3358</v>
      </c>
      <c r="AE46" s="2893">
        <v>25000</v>
      </c>
      <c r="AF46" s="2893">
        <v>125000</v>
      </c>
      <c r="AG46" s="2893">
        <v>204000</v>
      </c>
      <c r="AH46" s="2893">
        <v>1283.26</v>
      </c>
      <c r="AI46" s="2893">
        <v>2094.29</v>
      </c>
      <c r="AJ46" s="2893">
        <v>13749.25</v>
      </c>
      <c r="AK46" s="2893">
        <v>22438.79</v>
      </c>
      <c r="AL46" s="2893" t="s">
        <v>2811</v>
      </c>
      <c r="AM46" s="2893" t="s">
        <v>2811</v>
      </c>
      <c r="AN46" s="2893">
        <v>63.2</v>
      </c>
      <c r="AO46" s="2893" t="s">
        <v>3124</v>
      </c>
      <c r="AP46" s="2893" t="s">
        <v>2811</v>
      </c>
      <c r="AQ46" s="2893" t="s">
        <v>2811</v>
      </c>
      <c r="AR46" s="2893" t="s">
        <v>2811</v>
      </c>
      <c r="AS46" s="2893" t="s">
        <v>3078</v>
      </c>
    </row>
    <row r="47" spans="1:45" s="2893" customFormat="1">
      <c r="A47" s="2893" t="s">
        <v>3359</v>
      </c>
      <c r="B47" s="2893" t="s">
        <v>3026</v>
      </c>
      <c r="C47" s="2893" t="s">
        <v>3066</v>
      </c>
      <c r="D47" s="2893" t="s">
        <v>3028</v>
      </c>
      <c r="E47" s="2893" t="s">
        <v>2811</v>
      </c>
      <c r="F47" s="2893" t="s">
        <v>3359</v>
      </c>
      <c r="G47" s="2893" t="s">
        <v>3030</v>
      </c>
      <c r="H47" s="2893" t="s">
        <v>3360</v>
      </c>
      <c r="I47" s="2893" t="s">
        <v>3361</v>
      </c>
      <c r="J47" s="2893">
        <v>28504.45</v>
      </c>
      <c r="K47" s="2893">
        <v>59859.35</v>
      </c>
      <c r="L47" s="2893" t="s">
        <v>3362</v>
      </c>
      <c r="M47" s="2893" t="s">
        <v>2811</v>
      </c>
      <c r="N47" s="2893" t="s">
        <v>2811</v>
      </c>
      <c r="O47" s="2893" t="s">
        <v>2811</v>
      </c>
      <c r="P47" s="2893" t="s">
        <v>2811</v>
      </c>
      <c r="Q47" s="2893" t="s">
        <v>2811</v>
      </c>
      <c r="R47" s="2893" t="s">
        <v>2811</v>
      </c>
      <c r="S47" s="2893" t="s">
        <v>2811</v>
      </c>
      <c r="T47" s="2893" t="s">
        <v>3170</v>
      </c>
      <c r="U47" s="2893" t="s">
        <v>3170</v>
      </c>
      <c r="V47" s="2893" t="s">
        <v>2811</v>
      </c>
      <c r="W47" s="2893" t="s">
        <v>3347</v>
      </c>
      <c r="X47" s="2893" t="s">
        <v>3348</v>
      </c>
      <c r="Y47" s="2893" t="s">
        <v>3349</v>
      </c>
      <c r="Z47" s="2893" t="s">
        <v>3350</v>
      </c>
      <c r="AA47" s="2893" t="s">
        <v>3363</v>
      </c>
      <c r="AB47" s="2893" t="s">
        <v>3364</v>
      </c>
      <c r="AC47" s="2893" t="s">
        <v>3043</v>
      </c>
      <c r="AD47" s="2893" t="s">
        <v>3365</v>
      </c>
      <c r="AE47" s="2893">
        <v>11400</v>
      </c>
      <c r="AF47" s="2893">
        <v>57000</v>
      </c>
      <c r="AG47" s="2893">
        <v>96000</v>
      </c>
      <c r="AH47" s="2893">
        <v>1333.13</v>
      </c>
      <c r="AI47" s="2893">
        <v>2245.2600000000002</v>
      </c>
      <c r="AJ47" s="2893">
        <v>9522.32</v>
      </c>
      <c r="AK47" s="2893">
        <v>16037.59</v>
      </c>
      <c r="AL47" s="2893" t="s">
        <v>2811</v>
      </c>
      <c r="AM47" s="2893" t="s">
        <v>2811</v>
      </c>
      <c r="AN47" s="2893">
        <v>68.42</v>
      </c>
      <c r="AO47" s="2893" t="s">
        <v>3342</v>
      </c>
      <c r="AP47" s="2893" t="s">
        <v>2811</v>
      </c>
      <c r="AQ47" s="2893" t="s">
        <v>2811</v>
      </c>
      <c r="AR47" s="2893" t="s">
        <v>2811</v>
      </c>
      <c r="AS47" s="2893" t="s">
        <v>3078</v>
      </c>
    </row>
    <row r="48" spans="1:45" s="2893" customFormat="1">
      <c r="A48" s="2893" t="s">
        <v>3366</v>
      </c>
      <c r="B48" s="2893" t="s">
        <v>3026</v>
      </c>
      <c r="C48" s="2893" t="s">
        <v>3027</v>
      </c>
      <c r="D48" s="2893" t="s">
        <v>3028</v>
      </c>
      <c r="E48" s="2893" t="s">
        <v>2811</v>
      </c>
      <c r="F48" s="2893" t="s">
        <v>3366</v>
      </c>
      <c r="G48" s="2893" t="s">
        <v>3030</v>
      </c>
      <c r="H48" s="2893" t="s">
        <v>3367</v>
      </c>
      <c r="I48" s="2893" t="s">
        <v>3157</v>
      </c>
      <c r="J48" s="2893">
        <v>49198.720000000001</v>
      </c>
      <c r="K48" s="2893">
        <v>73798.080000000002</v>
      </c>
      <c r="L48" s="2893" t="s">
        <v>3368</v>
      </c>
      <c r="M48" s="2893" t="s">
        <v>2811</v>
      </c>
      <c r="N48" s="2893" t="s">
        <v>3369</v>
      </c>
      <c r="O48" s="2893" t="s">
        <v>3356</v>
      </c>
      <c r="P48" s="2893" t="s">
        <v>2811</v>
      </c>
      <c r="Q48" s="2893" t="s">
        <v>2811</v>
      </c>
      <c r="R48" s="2893" t="s">
        <v>2811</v>
      </c>
      <c r="S48" s="2893" t="s">
        <v>2811</v>
      </c>
      <c r="T48" s="2893" t="s">
        <v>3170</v>
      </c>
      <c r="U48" s="2893" t="s">
        <v>3170</v>
      </c>
      <c r="V48" s="2893" t="s">
        <v>2811</v>
      </c>
      <c r="W48" s="2893" t="s">
        <v>3347</v>
      </c>
      <c r="X48" s="2893" t="s">
        <v>3348</v>
      </c>
      <c r="Y48" s="2893" t="s">
        <v>3349</v>
      </c>
      <c r="Z48" s="2893" t="s">
        <v>3350</v>
      </c>
      <c r="AA48" s="2893" t="s">
        <v>3350</v>
      </c>
      <c r="AB48" s="2893" t="s">
        <v>3370</v>
      </c>
      <c r="AC48" s="2893" t="s">
        <v>3043</v>
      </c>
      <c r="AD48" s="2893" t="s">
        <v>3371</v>
      </c>
      <c r="AE48" s="2893">
        <v>20000</v>
      </c>
      <c r="AF48" s="2893">
        <v>100000</v>
      </c>
      <c r="AG48" s="2893">
        <v>166000</v>
      </c>
      <c r="AH48" s="2893">
        <v>1355.05</v>
      </c>
      <c r="AI48" s="2893">
        <v>2249.38</v>
      </c>
      <c r="AJ48" s="2893">
        <v>13550.48</v>
      </c>
      <c r="AK48" s="2893">
        <v>22493.81</v>
      </c>
      <c r="AL48" s="2893" t="s">
        <v>2811</v>
      </c>
      <c r="AM48" s="2893" t="s">
        <v>2811</v>
      </c>
      <c r="AN48" s="2893">
        <v>66</v>
      </c>
      <c r="AO48" s="2893" t="s">
        <v>3124</v>
      </c>
      <c r="AP48" s="2893" t="s">
        <v>2811</v>
      </c>
      <c r="AQ48" s="2893" t="s">
        <v>2811</v>
      </c>
      <c r="AR48" s="2893" t="s">
        <v>2811</v>
      </c>
      <c r="AS48" s="2893" t="s">
        <v>3078</v>
      </c>
    </row>
    <row r="49" spans="1:45" s="2893" customFormat="1">
      <c r="A49" s="2893" t="s">
        <v>3372</v>
      </c>
      <c r="B49" s="2893" t="s">
        <v>3026</v>
      </c>
      <c r="C49" s="2893" t="s">
        <v>3066</v>
      </c>
      <c r="D49" s="2893" t="s">
        <v>3028</v>
      </c>
      <c r="E49" s="2893" t="s">
        <v>2811</v>
      </c>
      <c r="F49" s="2893" t="s">
        <v>3372</v>
      </c>
      <c r="G49" s="2893" t="s">
        <v>3030</v>
      </c>
      <c r="H49" s="2893" t="s">
        <v>3373</v>
      </c>
      <c r="I49" s="2893" t="s">
        <v>3361</v>
      </c>
      <c r="J49" s="2893">
        <v>57502.91</v>
      </c>
      <c r="K49" s="2893">
        <v>120756.1</v>
      </c>
      <c r="L49" s="2893" t="s">
        <v>3362</v>
      </c>
      <c r="M49" s="2893" t="s">
        <v>2811</v>
      </c>
      <c r="N49" s="2893" t="s">
        <v>2811</v>
      </c>
      <c r="O49" s="2893" t="s">
        <v>2811</v>
      </c>
      <c r="P49" s="2893" t="s">
        <v>2811</v>
      </c>
      <c r="Q49" s="2893" t="s">
        <v>2811</v>
      </c>
      <c r="R49" s="2893" t="s">
        <v>2811</v>
      </c>
      <c r="S49" s="2893" t="s">
        <v>2811</v>
      </c>
      <c r="T49" s="2893" t="s">
        <v>3170</v>
      </c>
      <c r="U49" s="2893" t="s">
        <v>3170</v>
      </c>
      <c r="V49" s="2893" t="s">
        <v>2811</v>
      </c>
      <c r="W49" s="2893" t="s">
        <v>3347</v>
      </c>
      <c r="X49" s="2893" t="s">
        <v>3348</v>
      </c>
      <c r="Y49" s="2893" t="s">
        <v>3349</v>
      </c>
      <c r="Z49" s="2893" t="s">
        <v>3350</v>
      </c>
      <c r="AA49" s="2893" t="s">
        <v>3350</v>
      </c>
      <c r="AB49" s="2893" t="s">
        <v>3374</v>
      </c>
      <c r="AC49" s="2893" t="s">
        <v>3043</v>
      </c>
      <c r="AD49" s="2893" t="s">
        <v>3375</v>
      </c>
      <c r="AE49" s="2893">
        <v>21600</v>
      </c>
      <c r="AF49" s="2893">
        <v>108000</v>
      </c>
      <c r="AG49" s="2893">
        <v>194000</v>
      </c>
      <c r="AH49" s="2893">
        <v>1252.1099999999999</v>
      </c>
      <c r="AI49" s="2893">
        <v>2249.16</v>
      </c>
      <c r="AJ49" s="2893">
        <v>8943.64</v>
      </c>
      <c r="AK49" s="2893">
        <v>16065.44</v>
      </c>
      <c r="AL49" s="2893" t="s">
        <v>2811</v>
      </c>
      <c r="AM49" s="2893" t="s">
        <v>2811</v>
      </c>
      <c r="AN49" s="2893">
        <v>79.63</v>
      </c>
      <c r="AO49" s="2893" t="s">
        <v>3342</v>
      </c>
      <c r="AP49" s="2893" t="s">
        <v>2811</v>
      </c>
      <c r="AQ49" s="2893" t="s">
        <v>2811</v>
      </c>
      <c r="AR49" s="2893" t="s">
        <v>2811</v>
      </c>
      <c r="AS49" s="2893" t="s">
        <v>3078</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0:P124"/>
  <sheetViews>
    <sheetView topLeftCell="E211" zoomScale="85" zoomScaleNormal="85" workbookViewId="0">
      <selection activeCell="W230" sqref="W230"/>
    </sheetView>
  </sheetViews>
  <sheetFormatPr defaultRowHeight="13.5"/>
  <sheetData>
    <row r="50" spans="16:16">
      <c r="P50" s="3191"/>
    </row>
    <row r="51" spans="16:16">
      <c r="P51">
        <v>1</v>
      </c>
    </row>
    <row r="100" spans="16:16">
      <c r="P100" s="3191"/>
    </row>
    <row r="109" spans="16:16">
      <c r="P109" s="3191"/>
    </row>
    <row r="124" spans="16:16">
      <c r="P124" s="3191"/>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H20"/>
  <sheetViews>
    <sheetView workbookViewId="0">
      <selection activeCell="K12" sqref="K12"/>
    </sheetView>
  </sheetViews>
  <sheetFormatPr defaultRowHeight="13.5"/>
  <cols>
    <col min="3" max="3" width="17.75" customWidth="1"/>
    <col min="4" max="4" width="19.75" customWidth="1"/>
    <col min="5" max="5" width="16.5" customWidth="1"/>
    <col min="6" max="7" width="15.625" customWidth="1"/>
    <col min="8" max="8" width="11.125" customWidth="1"/>
  </cols>
  <sheetData>
    <row r="9" spans="3:8" s="2" customFormat="1" ht="29.25" customHeight="1">
      <c r="C9" s="3196" t="str">
        <f>系统读取表!A13</f>
        <v>项目名称</v>
      </c>
      <c r="D9" s="3196" t="str">
        <f>系统读取表!B13</f>
        <v>（规划）建筑面积（m2）</v>
      </c>
      <c r="E9" s="3271" t="s">
        <v>3580</v>
      </c>
      <c r="F9" s="3196" t="str">
        <f>系统读取表!D13</f>
        <v>市场价值（万元）</v>
      </c>
      <c r="G9" s="3271" t="s">
        <v>3565</v>
      </c>
      <c r="H9" s="3271" t="s">
        <v>3565</v>
      </c>
    </row>
    <row r="10" spans="3:8" ht="20.25" customHeight="1">
      <c r="C10" s="3197" t="s">
        <v>3497</v>
      </c>
      <c r="D10" s="3198">
        <f>系统读取表!B14</f>
        <v>240271.90000000002</v>
      </c>
      <c r="E10" s="3198">
        <f>系统读取表!C14</f>
        <v>77285.8</v>
      </c>
      <c r="F10" s="3198">
        <f ca="1">系统读取表!D14</f>
        <v>438377</v>
      </c>
      <c r="G10" s="3277">
        <f ca="1">结果表!C46</f>
        <v>268546</v>
      </c>
      <c r="H10" s="3607">
        <f ca="1">系统读取表!B8</f>
        <v>424127</v>
      </c>
    </row>
    <row r="11" spans="3:8" ht="20.25" customHeight="1">
      <c r="C11" s="3198" t="str">
        <f>系统读取表!A15</f>
        <v>估价对象2</v>
      </c>
      <c r="D11" s="3198">
        <f>系统读取表!B15</f>
        <v>231063.5</v>
      </c>
      <c r="E11" s="3198">
        <f>系统读取表!C15</f>
        <v>85512.1</v>
      </c>
      <c r="F11" s="3198">
        <f ca="1">系统读取表!D15</f>
        <v>115682</v>
      </c>
      <c r="G11" s="3278">
        <f ca="1">[1]结果表!$C$46</f>
        <v>107543</v>
      </c>
      <c r="H11" s="3608"/>
    </row>
    <row r="12" spans="3:8" ht="20.25" customHeight="1">
      <c r="C12" s="3198" t="str">
        <f>系统读取表!A16</f>
        <v>估价对象3</v>
      </c>
      <c r="D12" s="3198">
        <f>系统读取表!B16</f>
        <v>252408.4</v>
      </c>
      <c r="E12" s="3198">
        <f>系统读取表!C16</f>
        <v>85482.4</v>
      </c>
      <c r="F12" s="3198">
        <f ca="1">系统读取表!D16</f>
        <v>50771</v>
      </c>
      <c r="G12" s="3279">
        <f ca="1">[2]结果表!$C$46</f>
        <v>48038</v>
      </c>
      <c r="H12" s="3609"/>
    </row>
    <row r="13" spans="3:8" ht="18.75" customHeight="1">
      <c r="C13" s="3198" t="s">
        <v>3498</v>
      </c>
      <c r="D13" s="3198">
        <f>系统读取表!B1</f>
        <v>723743.8</v>
      </c>
      <c r="E13" s="3198">
        <f>系统读取表!B2</f>
        <v>248280.30000000002</v>
      </c>
      <c r="F13" s="3198">
        <f ca="1">系统读取表!B5</f>
        <v>604830</v>
      </c>
      <c r="G13" s="3198">
        <f ca="1">SUM(G10:G12)</f>
        <v>424127</v>
      </c>
      <c r="H13" s="3196">
        <f ca="1">H10</f>
        <v>424127</v>
      </c>
    </row>
    <row r="15" spans="3:8">
      <c r="C15" s="3281" t="s">
        <v>3578</v>
      </c>
      <c r="D15" s="3281" t="s">
        <v>3579</v>
      </c>
      <c r="E15" s="3282" t="str">
        <f>E9</f>
        <v>土地面积（m2）</v>
      </c>
      <c r="F15" s="3281" t="s">
        <v>3590</v>
      </c>
      <c r="G15" s="3281" t="s">
        <v>3591</v>
      </c>
    </row>
    <row r="16" spans="3:8">
      <c r="C16" s="3281" t="s">
        <v>3581</v>
      </c>
      <c r="D16" s="3281" t="s">
        <v>3584</v>
      </c>
      <c r="E16" s="3282">
        <f t="shared" ref="E16:E19" si="0">E10</f>
        <v>77285.8</v>
      </c>
      <c r="F16" s="3282">
        <f ca="1">ROUND(F10/10000,2)</f>
        <v>43.84</v>
      </c>
      <c r="G16" s="3282">
        <f ca="1">ROUND(G10/10000,2)</f>
        <v>26.85</v>
      </c>
    </row>
    <row r="17" spans="3:7">
      <c r="C17" s="3283" t="s">
        <v>3582</v>
      </c>
      <c r="D17" s="3281" t="s">
        <v>3585</v>
      </c>
      <c r="E17" s="3282">
        <f t="shared" si="0"/>
        <v>85512.1</v>
      </c>
      <c r="F17" s="3282">
        <f t="shared" ref="F17:G19" ca="1" si="1">ROUND(F11/10000,2)</f>
        <v>11.57</v>
      </c>
      <c r="G17" s="3282">
        <f t="shared" ca="1" si="1"/>
        <v>10.75</v>
      </c>
    </row>
    <row r="18" spans="3:7">
      <c r="C18" s="3283" t="s">
        <v>3583</v>
      </c>
      <c r="D18" s="3283" t="s">
        <v>3586</v>
      </c>
      <c r="E18" s="3282">
        <f t="shared" si="0"/>
        <v>85482.4</v>
      </c>
      <c r="F18" s="3282">
        <f t="shared" ca="1" si="1"/>
        <v>5.08</v>
      </c>
      <c r="G18" s="3282">
        <f t="shared" ca="1" si="1"/>
        <v>4.8</v>
      </c>
    </row>
    <row r="19" spans="3:7">
      <c r="C19" s="3281" t="s">
        <v>3587</v>
      </c>
      <c r="D19" s="3281" t="s">
        <v>3588</v>
      </c>
      <c r="E19" s="3282">
        <f t="shared" si="0"/>
        <v>248280.30000000002</v>
      </c>
      <c r="F19" s="3282">
        <f t="shared" ca="1" si="1"/>
        <v>60.48</v>
      </c>
      <c r="G19" s="3282">
        <f t="shared" ca="1" si="1"/>
        <v>42.41</v>
      </c>
    </row>
    <row r="20" spans="3:7">
      <c r="G20" s="3280" t="s">
        <v>3589</v>
      </c>
    </row>
  </sheetData>
  <mergeCells count="1">
    <mergeCell ref="H10:H12"/>
  </mergeCells>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2034</v>
      </c>
      <c r="B1" s="3288"/>
      <c r="C1" s="3288"/>
      <c r="D1" s="3288"/>
      <c r="E1" s="3288"/>
      <c r="F1" s="3288"/>
      <c r="G1" s="3288"/>
      <c r="H1" s="3288"/>
      <c r="I1" s="3288"/>
      <c r="J1" s="3288"/>
      <c r="K1" s="3288"/>
      <c r="L1" s="3288"/>
      <c r="M1" s="3288"/>
      <c r="N1" s="3288"/>
      <c r="O1" s="3288"/>
      <c r="P1" s="3288"/>
      <c r="Q1" s="3288"/>
      <c r="R1" s="3288"/>
    </row>
    <row r="2" spans="1:18">
      <c r="A2" s="1792" t="s">
        <v>2036</v>
      </c>
      <c r="B2" s="1792"/>
      <c r="C2" s="1792"/>
      <c r="D2" s="1792"/>
      <c r="E2" s="1792"/>
      <c r="F2" s="1792"/>
      <c r="G2" s="1792"/>
      <c r="H2" s="1792"/>
      <c r="I2" s="1793"/>
      <c r="J2" s="1793"/>
      <c r="K2" s="1794" t="str">
        <f>"估价期日："&amp;TEXT(项目基本情况!D3,"yyyy年m月d日;;")</f>
        <v>估价期日：2019年6月13日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89" t="s">
        <v>2025</v>
      </c>
      <c r="B3" s="3289" t="s">
        <v>2724</v>
      </c>
      <c r="C3" s="3290" t="s">
        <v>2026</v>
      </c>
      <c r="D3" s="3289" t="s">
        <v>2728</v>
      </c>
      <c r="E3" s="3292" t="s">
        <v>2027</v>
      </c>
      <c r="F3" s="3292"/>
      <c r="G3" s="3292"/>
      <c r="H3" s="3292" t="s">
        <v>2028</v>
      </c>
      <c r="I3" s="3292"/>
      <c r="J3" s="3292"/>
      <c r="K3" s="3290" t="s">
        <v>2029</v>
      </c>
      <c r="L3" s="3290" t="s">
        <v>2030</v>
      </c>
      <c r="M3" s="3289" t="s">
        <v>2725</v>
      </c>
      <c r="N3" s="3291" t="str">
        <f>"（分摊）"&amp;项目基本情况!B16&amp;"国有建设用地使用权面积/㎡"</f>
        <v>（分摊）出让国有建设用地使用权面积/㎡</v>
      </c>
      <c r="O3" s="3289" t="s">
        <v>2059</v>
      </c>
      <c r="P3" s="3290" t="s">
        <v>2039</v>
      </c>
      <c r="Q3" s="3290" t="s">
        <v>2060</v>
      </c>
      <c r="R3" s="3290" t="s">
        <v>2031</v>
      </c>
    </row>
    <row r="4" spans="1:18" ht="36.75" customHeight="1">
      <c r="A4" s="3289"/>
      <c r="B4" s="3289"/>
      <c r="C4" s="3290"/>
      <c r="D4" s="3289"/>
      <c r="E4" s="2613" t="s">
        <v>2038</v>
      </c>
      <c r="F4" s="2613" t="s">
        <v>2737</v>
      </c>
      <c r="G4" s="2613" t="s">
        <v>2032</v>
      </c>
      <c r="H4" s="2613" t="s">
        <v>2033</v>
      </c>
      <c r="I4" s="2613" t="s">
        <v>2738</v>
      </c>
      <c r="J4" s="2613" t="s">
        <v>2032</v>
      </c>
      <c r="K4" s="3290"/>
      <c r="L4" s="3290"/>
      <c r="M4" s="3289"/>
      <c r="N4" s="3291"/>
      <c r="O4" s="3289"/>
      <c r="P4" s="3290"/>
      <c r="Q4" s="3290"/>
      <c r="R4" s="3290"/>
    </row>
    <row r="5" spans="1:18" ht="135" customHeight="1">
      <c r="A5" s="1928" t="s">
        <v>2648</v>
      </c>
      <c r="B5" s="2822" t="s">
        <v>2646</v>
      </c>
      <c r="C5" s="2612">
        <v>22</v>
      </c>
      <c r="D5" s="2611" t="s">
        <v>2647</v>
      </c>
      <c r="E5" s="1795" t="str">
        <f>项目基本情况!B12</f>
        <v>二类居住用地</v>
      </c>
      <c r="F5" s="2611">
        <v>258</v>
      </c>
      <c r="G5" s="1795" t="str">
        <f>项目基本情况!B13</f>
        <v>住宅</v>
      </c>
      <c r="H5" s="2611">
        <v>1.5</v>
      </c>
      <c r="I5" s="2611">
        <v>1.5</v>
      </c>
      <c r="J5" s="2611">
        <v>1.5</v>
      </c>
      <c r="K5" s="1795" t="str">
        <f>"红线外"&amp;项目基本情况!T40&amp;"、宗地红线内"&amp;项目基本情况!B35</f>
        <v>红线外六通、宗地红线内场地未平整</v>
      </c>
      <c r="L5" s="1795" t="str">
        <f>"红线外"&amp;项目基本情况!T40&amp;"、宗地红线内场地"&amp;项目基本情况!D36</f>
        <v>红线外六通、宗地红线内场地未平整</v>
      </c>
      <c r="M5" s="1795">
        <f>IF(项目基本情况!B16="出让",项目基本情况!D20,"——")</f>
        <v>0</v>
      </c>
      <c r="N5" s="1795">
        <f>项目基本情况!C22</f>
        <v>77285.8</v>
      </c>
      <c r="O5" s="1795">
        <f>项目基本情况!C21</f>
        <v>240271.90000000002</v>
      </c>
      <c r="P5" s="1795">
        <f ca="1">结果表!E42</f>
        <v>56722</v>
      </c>
      <c r="Q5" s="1795">
        <f ca="1">结果表!D42</f>
        <v>18245</v>
      </c>
      <c r="R5" s="1796">
        <f ca="1">结果表!C42</f>
        <v>438377</v>
      </c>
    </row>
    <row r="6" spans="1:18">
      <c r="A6" s="3285" t="str">
        <f>IF(项目基本情况!B9="市场价格","——","抵押价格")</f>
        <v>抵押价格</v>
      </c>
      <c r="B6" s="3286"/>
      <c r="C6" s="3286"/>
      <c r="D6" s="3286"/>
      <c r="E6" s="3286"/>
      <c r="F6" s="3286"/>
      <c r="G6" s="3286"/>
      <c r="H6" s="3286"/>
      <c r="I6" s="3286"/>
      <c r="J6" s="3286"/>
      <c r="K6" s="3286"/>
      <c r="L6" s="3286"/>
      <c r="M6" s="3286"/>
      <c r="N6" s="3286"/>
      <c r="O6" s="3286"/>
      <c r="P6" s="3286"/>
      <c r="Q6" s="3287"/>
      <c r="R6" s="1797">
        <f ca="1">结果表!O39</f>
        <v>438377</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797" t="str">
        <f>结果表!O40</f>
        <v>——</v>
      </c>
    </row>
    <row r="8" spans="1:18">
      <c r="A8" s="3285" t="str">
        <f>IF(项目基本情况!B9="市场价格","——",项目基本情况!E9)</f>
        <v>抵押净值</v>
      </c>
      <c r="B8" s="3286"/>
      <c r="C8" s="3286"/>
      <c r="D8" s="3286"/>
      <c r="E8" s="3286"/>
      <c r="F8" s="3286"/>
      <c r="G8" s="3286"/>
      <c r="H8" s="3286"/>
      <c r="I8" s="3286"/>
      <c r="J8" s="3286"/>
      <c r="K8" s="3286"/>
      <c r="L8" s="3286"/>
      <c r="M8" s="3286"/>
      <c r="N8" s="3286"/>
      <c r="O8" s="3286"/>
      <c r="P8" s="3286"/>
      <c r="Q8" s="3287"/>
      <c r="R8" s="1797">
        <f ca="1">结果表!O41</f>
        <v>268546</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94" t="s">
        <v>2061</v>
      </c>
      <c r="B1" s="3294"/>
      <c r="C1" s="3294"/>
      <c r="D1" s="3294"/>
    </row>
    <row r="2" spans="1:4" ht="47.25" customHeight="1">
      <c r="A2" s="3295" t="str">
        <f>"1.权利限制："&amp;项目基本情况!L24&amp;"未设定租赁等其他他项权利。"</f>
        <v>1.权利限制：根据估价对象、，截至估价期日，估价对象抵押权未见登记。未设定租赁等其他他项权利。</v>
      </c>
      <c r="B2" s="3295"/>
      <c r="C2" s="3295"/>
      <c r="D2" s="3295"/>
    </row>
    <row r="3" spans="1:4" ht="48" customHeight="1">
      <c r="A3" s="3294"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94"/>
      <c r="C3" s="3294"/>
      <c r="D3" s="3294"/>
    </row>
    <row r="4" spans="1:4" ht="36.75" customHeight="1">
      <c r="A4" s="3294" t="str">
        <f>"3.估价规划限制条件：详见"&amp;项目基本情况!E21&amp;"。"</f>
        <v>3.估价规划限制条件：详见《经济技术指标》[]。</v>
      </c>
      <c r="B4" s="3294"/>
      <c r="C4" s="3294"/>
      <c r="D4" s="3294"/>
    </row>
    <row r="5" spans="1:4">
      <c r="A5" s="3293" t="s">
        <v>2062</v>
      </c>
      <c r="B5" s="3293"/>
      <c r="C5" s="3293"/>
      <c r="D5" s="3293"/>
    </row>
    <row r="6" spans="1:4">
      <c r="A6" s="3294" t="s">
        <v>2040</v>
      </c>
      <c r="B6" s="3294"/>
      <c r="C6" s="3294"/>
      <c r="D6" s="3294"/>
    </row>
    <row r="7" spans="1:4" ht="33" customHeight="1">
      <c r="A7" s="3294" t="s">
        <v>2568</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4"/>
      <c r="C8" s="3294"/>
      <c r="D8" s="3294"/>
    </row>
    <row r="9" spans="1:4" ht="33.75" customHeight="1">
      <c r="A9" s="32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4"/>
      <c r="C9" s="3294"/>
      <c r="D9" s="3294"/>
    </row>
    <row r="10" spans="1:4">
      <c r="A10" s="3294" t="str">
        <f>IF(项目基本情况!B8="抵押","4.估价师所知悉的法定优先受偿款情况为：","——")</f>
        <v>4.估价师所知悉的法定优先受偿款情况为：</v>
      </c>
      <c r="B10" s="3294"/>
      <c r="C10" s="3294"/>
      <c r="D10" s="3294"/>
    </row>
    <row r="11" spans="1:4" ht="37.5" customHeight="1">
      <c r="A11" s="3296" t="str">
        <f>IF(项目基本情况!B8="抵押","（1）"&amp;CONCATENATE(项目基本情况!L24,项目基本情况!L25,项目基本情况!L26),"——")</f>
        <v>（1）根据估价对象、，截至估价期日，估价对象抵押权未见登记。</v>
      </c>
      <c r="B11" s="3296"/>
      <c r="C11" s="3296"/>
      <c r="D11" s="3296"/>
    </row>
    <row r="12" spans="1:4" ht="168" customHeight="1">
      <c r="A12" s="3293" t="s">
        <v>2064</v>
      </c>
      <c r="B12" s="3293"/>
      <c r="C12" s="3293"/>
      <c r="D12" s="3293"/>
    </row>
    <row r="13" spans="1:4">
      <c r="A13" s="3297" t="s">
        <v>2739</v>
      </c>
      <c r="B13" s="3297"/>
      <c r="C13" s="3297"/>
      <c r="D13" s="3297"/>
    </row>
    <row r="14" spans="1:4">
      <c r="A14" s="3296" t="str">
        <f>IF(项目基本情况!B8="抵押","综上，"&amp;结果表!K47,"——")</f>
        <v>综上，本次评估不存在估价师知悉的法定优先受偿款</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2695</v>
      </c>
      <c r="B17" s="3294"/>
      <c r="C17" s="3294"/>
      <c r="D17" s="3294"/>
    </row>
    <row r="18" spans="1:4">
      <c r="A18" s="3294" t="s">
        <v>2687</v>
      </c>
      <c r="B18" s="3294"/>
      <c r="C18" s="3294"/>
      <c r="D18" s="3294"/>
    </row>
    <row r="19" spans="1:4">
      <c r="A19" s="2823" t="s">
        <v>2688</v>
      </c>
      <c r="B19" s="2823" t="s">
        <v>2689</v>
      </c>
      <c r="C19" s="2823" t="s">
        <v>2690</v>
      </c>
      <c r="D19" s="2823" t="s">
        <v>2691</v>
      </c>
    </row>
    <row r="20" spans="1:4">
      <c r="A20" s="2823" t="str">
        <f>项目基本情况!B4</f>
        <v>赵雯</v>
      </c>
      <c r="B20" s="2823">
        <f ca="1">项目基本情况!C4</f>
        <v>2011110090</v>
      </c>
      <c r="C20" s="2825"/>
      <c r="D20" s="1785" t="s">
        <v>2696</v>
      </c>
    </row>
    <row r="21" spans="1:4">
      <c r="A21" s="2823" t="str">
        <f>项目基本情况!D4</f>
        <v>王鹏</v>
      </c>
      <c r="B21" s="2823">
        <f ca="1">项目基本情况!E4</f>
        <v>2002110030</v>
      </c>
      <c r="C21" s="2825"/>
      <c r="D21" s="1785" t="s">
        <v>2697</v>
      </c>
    </row>
    <row r="23" spans="1:4">
      <c r="A23" s="3294" t="s">
        <v>2692</v>
      </c>
      <c r="B23" s="3294"/>
      <c r="C23" s="3294"/>
      <c r="D23" s="3294"/>
    </row>
    <row r="24" spans="1:4">
      <c r="A24" s="2823" t="s">
        <v>2688</v>
      </c>
      <c r="B24" s="2823" t="s">
        <v>2693</v>
      </c>
      <c r="C24" s="2823" t="s">
        <v>2690</v>
      </c>
      <c r="D24" s="2823" t="s">
        <v>2691</v>
      </c>
    </row>
    <row r="25" spans="1:4">
      <c r="A25" s="2826" t="s">
        <v>2694</v>
      </c>
      <c r="B25" s="2823" t="s">
        <v>951</v>
      </c>
      <c r="C25" s="2825"/>
      <c r="D25" s="1785" t="s">
        <v>2697</v>
      </c>
    </row>
    <row r="29" spans="1:4">
      <c r="D29" s="2824" t="s">
        <v>2035</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05" t="s">
        <v>53</v>
      </c>
      <c r="B15" s="3306" t="s">
        <v>845</v>
      </c>
      <c r="C15" s="3302"/>
    </row>
    <row r="16" spans="1:7" ht="14.25">
      <c r="A16" s="3305"/>
      <c r="B16" s="3303" t="s">
        <v>54</v>
      </c>
      <c r="C16" s="1167" t="s">
        <v>53</v>
      </c>
    </row>
    <row r="17" spans="1:3" ht="14.25">
      <c r="A17" s="3305"/>
      <c r="B17" s="3303"/>
      <c r="C17" s="1167" t="s">
        <v>55</v>
      </c>
    </row>
    <row r="18" spans="1:3" ht="14.25">
      <c r="A18" s="3305"/>
      <c r="B18" s="3303"/>
      <c r="C18" s="1167" t="s">
        <v>56</v>
      </c>
    </row>
    <row r="19" spans="1:3" ht="14.25">
      <c r="A19" s="3305"/>
      <c r="B19" s="3301" t="s">
        <v>57</v>
      </c>
      <c r="C19" s="3302"/>
    </row>
    <row r="20" spans="1:3" ht="14.25">
      <c r="A20" s="1168" t="s">
        <v>58</v>
      </c>
      <c r="B20" s="1169"/>
      <c r="C20" s="1170"/>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71" t="s">
        <v>836</v>
      </c>
    </row>
    <row r="25" spans="1:3" ht="14.25">
      <c r="A25" s="3304"/>
      <c r="B25" s="3308"/>
      <c r="C25" s="1171" t="s">
        <v>837</v>
      </c>
    </row>
    <row r="26" spans="1:3" ht="14.25">
      <c r="A26" s="3304"/>
      <c r="B26" s="3308"/>
      <c r="C26" s="1171" t="s">
        <v>838</v>
      </c>
    </row>
    <row r="27" spans="1:3" ht="14.25">
      <c r="A27" s="3304"/>
      <c r="B27" s="3308"/>
      <c r="C27" s="1171" t="s">
        <v>839</v>
      </c>
    </row>
    <row r="28" spans="1:3" ht="14.25">
      <c r="A28" s="3304"/>
      <c r="B28" s="3308"/>
      <c r="C28" s="1171" t="s">
        <v>840</v>
      </c>
    </row>
    <row r="29" spans="1:3" ht="14.25">
      <c r="A29" s="3304"/>
      <c r="B29" s="3308"/>
      <c r="C29" s="1171" t="s">
        <v>841</v>
      </c>
    </row>
    <row r="30" spans="1:3" ht="14.25">
      <c r="A30" s="3304"/>
      <c r="B30" s="3308"/>
      <c r="C30" s="1171" t="s">
        <v>842</v>
      </c>
    </row>
    <row r="31" spans="1:3" ht="14.25">
      <c r="A31" s="3304"/>
      <c r="B31" s="3308"/>
      <c r="C31" s="1171" t="s">
        <v>843</v>
      </c>
    </row>
    <row r="32" spans="1:3" ht="14.25">
      <c r="A32" s="3304"/>
      <c r="B32" s="3308"/>
      <c r="C32" s="1171" t="s">
        <v>1645</v>
      </c>
    </row>
    <row r="33" spans="1:3" ht="14.25">
      <c r="A33" s="3304"/>
      <c r="B33" s="3298" t="s">
        <v>1651</v>
      </c>
      <c r="C33" s="1171" t="s">
        <v>1646</v>
      </c>
    </row>
    <row r="34" spans="1:3" ht="14.25">
      <c r="A34" s="3304"/>
      <c r="B34" s="3299"/>
      <c r="C34" s="1176" t="s">
        <v>1647</v>
      </c>
    </row>
    <row r="35" spans="1:3" ht="14.25">
      <c r="A35" s="3304"/>
      <c r="B35" s="3299"/>
      <c r="C35" s="1177" t="s">
        <v>1648</v>
      </c>
    </row>
    <row r="36" spans="1:3" ht="14.25">
      <c r="A36" s="3304"/>
      <c r="B36" s="3299"/>
      <c r="C36" s="1177" t="s">
        <v>1649</v>
      </c>
    </row>
    <row r="37" spans="1:3" ht="14.25">
      <c r="A37" s="3304"/>
      <c r="B37" s="3300"/>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43698</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t="str">
        <f ca="1">IF(C11&lt;B2,"已过期",1120100036)</f>
        <v>已过期</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2968</v>
      </c>
      <c r="B14" s="3129">
        <f ca="1">IF(C14&lt;B2,"已过期",1120040230)</f>
        <v>1120040230</v>
      </c>
      <c r="C14" s="3133">
        <v>43835</v>
      </c>
      <c r="D14" s="3134" t="s">
        <v>2969</v>
      </c>
      <c r="E14" s="3129">
        <f ca="1">IF(F14&lt;B2,"已过期",98030020)</f>
        <v>98030020</v>
      </c>
      <c r="F14" s="3132">
        <v>47118</v>
      </c>
    </row>
    <row r="15" spans="1:6" ht="20.25" customHeight="1">
      <c r="A15" s="3129" t="s">
        <v>2567</v>
      </c>
      <c r="B15" s="3129">
        <f ca="1">IF(C15&lt;B2,"已过期",1120070085)</f>
        <v>1120070085</v>
      </c>
      <c r="C15" s="3133">
        <v>43814</v>
      </c>
      <c r="D15" s="3129" t="s">
        <v>2970</v>
      </c>
      <c r="E15" s="3129">
        <f ca="1">IF(F15&lt;B2,"已过期",2004110128)</f>
        <v>2004110128</v>
      </c>
      <c r="F15" s="3135">
        <v>47118</v>
      </c>
    </row>
    <row r="16" spans="1:6" ht="20.25" customHeight="1">
      <c r="A16" s="3129" t="s">
        <v>1922</v>
      </c>
      <c r="B16" s="3129">
        <f ca="1">IF(C16&lt;B2,"已过期",1120140022)</f>
        <v>1120140022</v>
      </c>
      <c r="C16" s="3131">
        <v>44029</v>
      </c>
      <c r="D16" s="3129" t="s">
        <v>2971</v>
      </c>
      <c r="E16" s="3129">
        <f ca="1">IF(F16&lt;B2,"已过期",2008110059)</f>
        <v>2008110059</v>
      </c>
      <c r="F16" s="3132">
        <v>47177</v>
      </c>
    </row>
    <row r="17" spans="1:7" ht="20.25" customHeight="1">
      <c r="A17" s="3129"/>
      <c r="B17" s="3129"/>
      <c r="C17" s="3131"/>
      <c r="D17" s="3134" t="s">
        <v>2972</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2049</v>
      </c>
      <c r="B24" s="3128" t="s">
        <v>2049</v>
      </c>
      <c r="C24" s="3131"/>
      <c r="D24" s="3136" t="s">
        <v>2049</v>
      </c>
      <c r="E24" s="3128" t="s">
        <v>2049</v>
      </c>
      <c r="F24" s="3135"/>
    </row>
    <row r="25" spans="1:7" ht="20.25" customHeight="1">
      <c r="A25" s="3309" t="s">
        <v>1925</v>
      </c>
      <c r="B25" s="3309"/>
      <c r="C25" s="3309"/>
      <c r="D25" s="3309"/>
      <c r="E25" s="3309"/>
      <c r="F25" s="3309"/>
      <c r="G25" s="3309"/>
    </row>
    <row r="26" spans="1:7" ht="20.25" customHeight="1">
      <c r="A26" s="3310" t="s">
        <v>1926</v>
      </c>
      <c r="B26" s="3310"/>
      <c r="C26" s="3310"/>
      <c r="D26" s="3310" t="s">
        <v>1927</v>
      </c>
      <c r="E26" s="3310"/>
      <c r="F26" s="3310"/>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2930</v>
      </c>
      <c r="F29" s="3144">
        <v>43281</v>
      </c>
    </row>
    <row r="30" spans="1:7" ht="20.25" customHeight="1">
      <c r="C30" s="3145"/>
      <c r="D30" s="3145"/>
    </row>
  </sheetData>
  <sheetProtection password="C66D" sheet="1" objects="1" scenarios="1"/>
  <mergeCells count="3">
    <mergeCell ref="A25:G25"/>
    <mergeCell ref="A26:C26"/>
    <mergeCell ref="D26:F26"/>
  </mergeCells>
  <phoneticPr fontId="4" type="noConversion"/>
  <conditionalFormatting sqref="C24:D24">
    <cfRule type="expression" dxfId="214" priority="113">
      <formula>AND($C24-TODAY()&lt;30,TODAY()&lt;$C24)</formula>
    </cfRule>
  </conditionalFormatting>
  <conditionalFormatting sqref="C28">
    <cfRule type="expression" dxfId="213" priority="112">
      <formula>AND($C28-TODAY()&lt;30,TODAY()&lt;$C28)</formula>
    </cfRule>
  </conditionalFormatting>
  <conditionalFormatting sqref="C28 F4">
    <cfRule type="cellIs" dxfId="212" priority="114" stopIfTrue="1" operator="lessThan">
      <formula>$B$2</formula>
    </cfRule>
  </conditionalFormatting>
  <conditionalFormatting sqref="F5">
    <cfRule type="cellIs" dxfId="211" priority="110" stopIfTrue="1" operator="lessThan">
      <formula>$B$2</formula>
    </cfRule>
  </conditionalFormatting>
  <conditionalFormatting sqref="F6 F8 F10">
    <cfRule type="cellIs" dxfId="210" priority="108" stopIfTrue="1" operator="lessThan">
      <formula>$B$2</formula>
    </cfRule>
  </conditionalFormatting>
  <conditionalFormatting sqref="C24:D24">
    <cfRule type="expression" dxfId="209" priority="106">
      <formula>AND($C24-TODAY()&lt;30,TODAY()&lt;$C24)</formula>
    </cfRule>
  </conditionalFormatting>
  <conditionalFormatting sqref="F7 F9 F11 C24:D24">
    <cfRule type="cellIs" dxfId="208" priority="107" stopIfTrue="1" operator="lessThan">
      <formula>$B$2</formula>
    </cfRule>
  </conditionalFormatting>
  <conditionalFormatting sqref="F18">
    <cfRule type="cellIs" dxfId="207" priority="79" stopIfTrue="1" operator="lessThan">
      <formula>$B$2</formula>
    </cfRule>
  </conditionalFormatting>
  <conditionalFormatting sqref="F22">
    <cfRule type="cellIs" dxfId="206" priority="78" stopIfTrue="1" operator="lessThan">
      <formula>$B$2</formula>
    </cfRule>
  </conditionalFormatting>
  <conditionalFormatting sqref="F21">
    <cfRule type="cellIs" dxfId="205" priority="77" stopIfTrue="1" operator="lessThan">
      <formula>$B$2</formula>
    </cfRule>
  </conditionalFormatting>
  <conditionalFormatting sqref="B4:B11 E4:E11 E18:E23 B17:B23 B13 E13">
    <cfRule type="cellIs" dxfId="204" priority="75" stopIfTrue="1" operator="equal">
      <formula>"已过期"</formula>
    </cfRule>
  </conditionalFormatting>
  <conditionalFormatting sqref="F28">
    <cfRule type="cellIs" dxfId="203" priority="72" stopIfTrue="1" operator="lessThan">
      <formula>$B$2</formula>
    </cfRule>
  </conditionalFormatting>
  <conditionalFormatting sqref="F29">
    <cfRule type="cellIs" dxfId="202" priority="70" stopIfTrue="1" operator="lessThan">
      <formula>$B$2</formula>
    </cfRule>
  </conditionalFormatting>
  <conditionalFormatting sqref="F28">
    <cfRule type="expression" dxfId="201" priority="116">
      <formula>AND($E28-TODAY()&lt;30,TODAY()&lt;$E28)</formula>
    </cfRule>
  </conditionalFormatting>
  <conditionalFormatting sqref="F29">
    <cfRule type="expression" dxfId="200" priority="117" stopIfTrue="1">
      <formula>AND($E29-TODAY()&lt;30,TODAY()&lt;$E29)</formula>
    </cfRule>
  </conditionalFormatting>
  <conditionalFormatting sqref="C5">
    <cfRule type="expression" dxfId="199" priority="67">
      <formula>AND($C5-TODAY()&lt;30,TODAY()&lt;$C5)</formula>
    </cfRule>
  </conditionalFormatting>
  <conditionalFormatting sqref="C5">
    <cfRule type="cellIs" dxfId="198" priority="68" stopIfTrue="1" operator="lessThan">
      <formula>$B$2</formula>
    </cfRule>
  </conditionalFormatting>
  <conditionalFormatting sqref="C4:C6">
    <cfRule type="expression" dxfId="197" priority="65">
      <formula>AND($C4-TODAY()&lt;30,TODAY()&lt;$C4)</formula>
    </cfRule>
  </conditionalFormatting>
  <conditionalFormatting sqref="C4:C6">
    <cfRule type="cellIs" dxfId="196" priority="66" stopIfTrue="1" operator="lessThan">
      <formula>$B$2</formula>
    </cfRule>
  </conditionalFormatting>
  <conditionalFormatting sqref="C8:C9">
    <cfRule type="expression" dxfId="195" priority="63">
      <formula>AND($C8-TODAY()&lt;30,TODAY()&lt;$C8)</formula>
    </cfRule>
  </conditionalFormatting>
  <conditionalFormatting sqref="C8:C9">
    <cfRule type="cellIs" dxfId="194" priority="64" stopIfTrue="1" operator="lessThan">
      <formula>$B$2</formula>
    </cfRule>
  </conditionalFormatting>
  <conditionalFormatting sqref="C7">
    <cfRule type="expression" dxfId="193" priority="46">
      <formula>AND($C7-TODAY()&lt;30,TODAY()&lt;$C7)</formula>
    </cfRule>
  </conditionalFormatting>
  <conditionalFormatting sqref="C7">
    <cfRule type="cellIs" dxfId="192" priority="47" stopIfTrue="1" operator="lessThan">
      <formula>$B$2</formula>
    </cfRule>
  </conditionalFormatting>
  <conditionalFormatting sqref="C10:C11 C13 C23 C17:C21">
    <cfRule type="expression" dxfId="191" priority="44">
      <formula>AND($C10-TODAY()&lt;30,TODAY()&lt;$C10)</formula>
    </cfRule>
  </conditionalFormatting>
  <conditionalFormatting sqref="C10:C11 C13 C23 C17:C21">
    <cfRule type="cellIs" dxfId="190" priority="45" stopIfTrue="1" operator="lessThan">
      <formula>$B$2</formula>
    </cfRule>
  </conditionalFormatting>
  <conditionalFormatting sqref="F13">
    <cfRule type="cellIs" dxfId="189" priority="43" stopIfTrue="1" operator="lessThan">
      <formula>$B$2</formula>
    </cfRule>
  </conditionalFormatting>
  <conditionalFormatting sqref="F12">
    <cfRule type="cellIs" dxfId="188" priority="35" stopIfTrue="1" operator="lessThan">
      <formula>$B$2</formula>
    </cfRule>
  </conditionalFormatting>
  <conditionalFormatting sqref="B12 E12">
    <cfRule type="cellIs" dxfId="187" priority="34" stopIfTrue="1" operator="equal">
      <formula>"已过期"</formula>
    </cfRule>
  </conditionalFormatting>
  <conditionalFormatting sqref="C12">
    <cfRule type="expression" dxfId="186" priority="32">
      <formula>AND($C12-TODAY()&lt;30,TODAY()&lt;$C12)</formula>
    </cfRule>
  </conditionalFormatting>
  <conditionalFormatting sqref="C12">
    <cfRule type="cellIs" dxfId="185" priority="33" stopIfTrue="1" operator="lessThan">
      <formula>$B$2</formula>
    </cfRule>
  </conditionalFormatting>
  <conditionalFormatting sqref="C22">
    <cfRule type="expression" dxfId="184" priority="24">
      <formula>AND($C22-TODAY()&lt;30,TODAY()&lt;$C22)</formula>
    </cfRule>
  </conditionalFormatting>
  <conditionalFormatting sqref="C22">
    <cfRule type="cellIs" dxfId="183" priority="25" stopIfTrue="1" operator="lessThan">
      <formula>$B$2</formula>
    </cfRule>
  </conditionalFormatting>
  <conditionalFormatting sqref="C16">
    <cfRule type="expression" dxfId="182" priority="22">
      <formula>AND($C16-TODAY()&lt;30,TODAY()&lt;$C16)</formula>
    </cfRule>
  </conditionalFormatting>
  <conditionalFormatting sqref="C16">
    <cfRule type="cellIs" dxfId="181" priority="23" stopIfTrue="1" operator="lessThan">
      <formula>$B$2</formula>
    </cfRule>
  </conditionalFormatting>
  <conditionalFormatting sqref="C16">
    <cfRule type="expression" dxfId="180" priority="20">
      <formula>AND($C16-TODAY()&lt;30,TODAY()&lt;$C16)</formula>
    </cfRule>
  </conditionalFormatting>
  <conditionalFormatting sqref="C16">
    <cfRule type="cellIs" dxfId="179" priority="21" stopIfTrue="1" operator="lessThan">
      <formula>$B$2</formula>
    </cfRule>
  </conditionalFormatting>
  <conditionalFormatting sqref="B16">
    <cfRule type="cellIs" dxfId="178" priority="19" stopIfTrue="1" operator="equal">
      <formula>"已过期"</formula>
    </cfRule>
  </conditionalFormatting>
  <conditionalFormatting sqref="C14:C15">
    <cfRule type="expression" dxfId="177" priority="17">
      <formula>AND($C14-TODAY()&lt;30,TODAY()&lt;$C14)</formula>
    </cfRule>
  </conditionalFormatting>
  <conditionalFormatting sqref="C14:C15">
    <cfRule type="cellIs" dxfId="176" priority="18" stopIfTrue="1" operator="lessThan">
      <formula>$B$2</formula>
    </cfRule>
  </conditionalFormatting>
  <conditionalFormatting sqref="C14">
    <cfRule type="expression" dxfId="175" priority="15">
      <formula>AND($C14-TODAY()&lt;30,TODAY()&lt;$C14)</formula>
    </cfRule>
  </conditionalFormatting>
  <conditionalFormatting sqref="C14">
    <cfRule type="cellIs" dxfId="174" priority="16" stopIfTrue="1" operator="lessThan">
      <formula>$B$2</formula>
    </cfRule>
  </conditionalFormatting>
  <conditionalFormatting sqref="C15">
    <cfRule type="expression" dxfId="173" priority="13">
      <formula>AND($C15-TODAY()&lt;30,TODAY()&lt;$C15)</formula>
    </cfRule>
  </conditionalFormatting>
  <conditionalFormatting sqref="C15">
    <cfRule type="cellIs" dxfId="172" priority="14" stopIfTrue="1" operator="lessThan">
      <formula>$B$2</formula>
    </cfRule>
  </conditionalFormatting>
  <conditionalFormatting sqref="B14">
    <cfRule type="cellIs" dxfId="171" priority="12" stopIfTrue="1" operator="equal">
      <formula>"已过期"</formula>
    </cfRule>
  </conditionalFormatting>
  <conditionalFormatting sqref="B15">
    <cfRule type="cellIs" dxfId="170" priority="11" stopIfTrue="1" operator="equal">
      <formula>"已过期"</formula>
    </cfRule>
  </conditionalFormatting>
  <conditionalFormatting sqref="A15">
    <cfRule type="cellIs" dxfId="169" priority="10" stopIfTrue="1" operator="equal">
      <formula>"已过期"</formula>
    </cfRule>
  </conditionalFormatting>
  <conditionalFormatting sqref="C15">
    <cfRule type="expression" dxfId="168" priority="9">
      <formula>AND($C15-TODAY()&lt;30,TODAY()&lt;$C15)</formula>
    </cfRule>
  </conditionalFormatting>
  <conditionalFormatting sqref="F16">
    <cfRule type="cellIs" dxfId="167" priority="8" stopIfTrue="1" operator="lessThan">
      <formula>$B$2</formula>
    </cfRule>
  </conditionalFormatting>
  <conditionalFormatting sqref="E16">
    <cfRule type="cellIs" dxfId="166" priority="7" stopIfTrue="1" operator="equal">
      <formula>"已过期"</formula>
    </cfRule>
  </conditionalFormatting>
  <conditionalFormatting sqref="E15">
    <cfRule type="cellIs" dxfId="165" priority="6" stopIfTrue="1" operator="equal">
      <formula>"已过期"</formula>
    </cfRule>
  </conditionalFormatting>
  <conditionalFormatting sqref="D15">
    <cfRule type="cellIs" dxfId="164" priority="5" stopIfTrue="1" operator="equal">
      <formula>"已过期"</formula>
    </cfRule>
  </conditionalFormatting>
  <conditionalFormatting sqref="F17">
    <cfRule type="cellIs" dxfId="163" priority="4" stopIfTrue="1" operator="lessThan">
      <formula>$B$2</formula>
    </cfRule>
  </conditionalFormatting>
  <conditionalFormatting sqref="E17">
    <cfRule type="cellIs" dxfId="162" priority="3" stopIfTrue="1" operator="equal">
      <formula>"已过期"</formula>
    </cfRule>
  </conditionalFormatting>
  <conditionalFormatting sqref="E14">
    <cfRule type="cellIs" dxfId="161" priority="2" stopIfTrue="1" operator="equal">
      <formula>"已过期"</formula>
    </cfRule>
  </conditionalFormatting>
  <conditionalFormatting sqref="F14">
    <cfRule type="cellIs" dxfId="16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2538</v>
      </c>
      <c r="R1" s="2546" t="s">
        <v>2532</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2533</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2534</v>
      </c>
      <c r="S3" s="9" t="s">
        <v>84</v>
      </c>
      <c r="T3" s="9" t="s">
        <v>85</v>
      </c>
      <c r="U3" s="9" t="s">
        <v>84</v>
      </c>
      <c r="V3" s="9" t="s">
        <v>86</v>
      </c>
      <c r="W3" s="9" t="s">
        <v>875</v>
      </c>
    </row>
    <row r="4" spans="1:23">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2535</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545</v>
      </c>
      <c r="Q5" s="9" t="s">
        <v>97</v>
      </c>
      <c r="R5" s="1005" t="s">
        <v>2536</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2537</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1" t="s">
        <v>2942</v>
      </c>
      <c r="C18" s="1540"/>
    </row>
    <row r="19" spans="1:3">
      <c r="A19" s="8" t="s">
        <v>120</v>
      </c>
      <c r="B19" s="3061" t="s">
        <v>2950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启迪科技新城发展有限公司拟使用江苏省南京市浦口区总部大道以北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311"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13日，在规划利用条件下、设定土地开发程度为红线外“六通”、宗地内场地未平整，设定用途为住宅，剩余土地使用年限为的出让国有建设用地使用权价格。</v>
      </c>
      <c r="D53" s="1752"/>
      <c r="E53" s="1752"/>
    </row>
    <row r="54" spans="1:5">
      <c r="A54" s="3311"/>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311"/>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311"/>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311"/>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净值计算</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结果汇总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2019-08-21T07:46:31Z</dcterms:modified>
</cp:coreProperties>
</file>