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H:\周彤\报告\2024年\询价\重庆询价\"/>
    </mc:Choice>
  </mc:AlternateContent>
  <xr:revisionPtr revIDLastSave="0" documentId="13_ncr:1_{7F4FBE70-7CC7-4CB7-9024-6339886E4F0A}" xr6:coauthVersionLast="47" xr6:coauthVersionMax="47" xr10:uidLastSave="{00000000-0000-0000-0000-000000000000}"/>
  <bookViews>
    <workbookView xWindow="-120" yWindow="-120" windowWidth="21840" windowHeight="13140" tabRatio="899" firstSheet="10"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土地案例" sheetId="81"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基准地价修正" sheetId="43" r:id="rId43"/>
    <sheet name="地价-分区" sheetId="79" r:id="rId44"/>
    <sheet name="地价" sheetId="71" r:id="rId45"/>
    <sheet name="存贷款利率" sheetId="73"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18"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42">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1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46" i="39" l="1"/>
  <c r="G46" i="39"/>
  <c r="E46" i="39"/>
  <c r="AF6" i="1"/>
  <c r="AD6" i="1"/>
  <c r="AD20" i="1"/>
  <c r="Z6" i="1"/>
  <c r="N6" i="1"/>
  <c r="N20" i="1"/>
  <c r="N70" i="39" l="1"/>
  <c r="O70" i="39" s="1"/>
  <c r="I38" i="39" l="1"/>
  <c r="G38" i="39"/>
  <c r="E38" i="39"/>
  <c r="I7" i="39"/>
  <c r="G7" i="39"/>
  <c r="E7" i="39"/>
  <c r="I5" i="39"/>
  <c r="G5" i="39"/>
  <c r="E5" i="39"/>
  <c r="Y6" i="1" l="1"/>
  <c r="B21" i="1"/>
  <c r="H38" i="6"/>
  <c r="H36" i="6" s="1"/>
  <c r="G38" i="6" l="1"/>
  <c r="G36" i="6" s="1"/>
  <c r="D40" i="43"/>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N26" i="79" s="1"/>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T17" i="79" s="1"/>
  <c r="W17" i="79" s="1"/>
  <c r="L17" i="79"/>
  <c r="S17" i="79" s="1"/>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S15" i="79" s="1"/>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R13" i="79"/>
  <c r="V13" i="79"/>
  <c r="S14" i="79"/>
  <c r="T15" i="79"/>
  <c r="W15" i="79" s="1"/>
  <c r="U17" i="79"/>
  <c r="S28" i="79"/>
  <c r="AA26" i="79"/>
  <c r="AD26" i="79" s="1"/>
  <c r="T30" i="79"/>
  <c r="W30" i="79" s="1"/>
  <c r="U36" i="79"/>
  <c r="AD37" i="79"/>
  <c r="S38" i="79"/>
  <c r="U40" i="79"/>
  <c r="AD41" i="79"/>
  <c r="M26" i="79"/>
  <c r="P26" i="79" s="1"/>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Y25" i="71" s="1"/>
  <c r="Z25"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c r="B84" i="71"/>
  <c r="B83" i="71"/>
  <c r="B82" i="71" s="1"/>
  <c r="D81" i="71"/>
  <c r="Q80" i="71"/>
  <c r="P80" i="71"/>
  <c r="O80" i="71"/>
  <c r="N80" i="71"/>
  <c r="F80" i="71"/>
  <c r="V80" i="71" s="1"/>
  <c r="E80" i="71"/>
  <c r="U80" i="71" s="1"/>
  <c r="C80" i="71"/>
  <c r="T80" i="7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B71" i="71" s="1"/>
  <c r="B70" i="71" s="1"/>
  <c r="Q71" i="71"/>
  <c r="P71" i="71"/>
  <c r="O71" i="71"/>
  <c r="N71" i="71"/>
  <c r="F71" i="71"/>
  <c r="F70" i="71" s="1"/>
  <c r="Q70" i="71"/>
  <c r="P70" i="71"/>
  <c r="O70" i="71"/>
  <c r="N70" i="71"/>
  <c r="Q69" i="71"/>
  <c r="P69" i="71"/>
  <c r="O69" i="71"/>
  <c r="N69" i="71"/>
  <c r="D69" i="71"/>
  <c r="F68" i="71"/>
  <c r="V68" i="71" s="1"/>
  <c r="E68" i="71"/>
  <c r="P68" i="71" s="1"/>
  <c r="C68" i="71"/>
  <c r="B68" i="71"/>
  <c r="S68" i="71" s="1"/>
  <c r="D65" i="71"/>
  <c r="Q64" i="71"/>
  <c r="P64" i="71"/>
  <c r="O64" i="71"/>
  <c r="N64" i="71"/>
  <c r="Q63" i="71"/>
  <c r="P63" i="71"/>
  <c r="O63" i="71"/>
  <c r="N63" i="71"/>
  <c r="Q62" i="71"/>
  <c r="P62" i="71"/>
  <c r="O62" i="71"/>
  <c r="N62" i="71"/>
  <c r="Q61" i="71"/>
  <c r="F62" i="71"/>
  <c r="F63" i="71" s="1"/>
  <c r="F64" i="71" s="1"/>
  <c r="V64" i="71" s="1"/>
  <c r="P61" i="71"/>
  <c r="E62" i="71" s="1"/>
  <c r="E63" i="71" s="1"/>
  <c r="E64" i="71" s="1"/>
  <c r="U64" i="71" s="1"/>
  <c r="O61" i="71"/>
  <c r="C62" i="71" s="1"/>
  <c r="D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s="1"/>
  <c r="E59" i="71" s="1"/>
  <c r="E60" i="71" s="1"/>
  <c r="U60" i="71" s="1"/>
  <c r="O57" i="71"/>
  <c r="C58" i="71" s="1"/>
  <c r="D58" i="71" s="1"/>
  <c r="N57" i="71"/>
  <c r="B58" i="71"/>
  <c r="B59" i="71" s="1"/>
  <c r="B60" i="71" s="1"/>
  <c r="S60" i="71" s="1"/>
  <c r="D57" i="71"/>
  <c r="Q56" i="71"/>
  <c r="P56" i="71"/>
  <c r="O56" i="71"/>
  <c r="N56" i="71"/>
  <c r="Q55" i="71"/>
  <c r="P55" i="71"/>
  <c r="O55" i="71"/>
  <c r="N55" i="71"/>
  <c r="Q54" i="71"/>
  <c r="P54" i="71"/>
  <c r="E55" i="71" s="1"/>
  <c r="E56" i="71" s="1"/>
  <c r="U56" i="71" s="1"/>
  <c r="O54" i="71"/>
  <c r="N54" i="71"/>
  <c r="Q53" i="71"/>
  <c r="F54"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9" i="71"/>
  <c r="O39" i="71"/>
  <c r="N39" i="71"/>
  <c r="X39" i="71" s="1"/>
  <c r="Q38" i="71"/>
  <c r="P38" i="71"/>
  <c r="O38" i="71"/>
  <c r="Y38" i="71" s="1"/>
  <c r="Z38" i="71" s="1"/>
  <c r="N38" i="71"/>
  <c r="F38" i="71"/>
  <c r="F39" i="71" s="1"/>
  <c r="Q37" i="71"/>
  <c r="P37" i="71"/>
  <c r="AA36" i="71" s="1"/>
  <c r="O37" i="71"/>
  <c r="N37" i="71"/>
  <c r="B38" i="71" s="1"/>
  <c r="B39" i="71" s="1"/>
  <c r="B40" i="71" s="1"/>
  <c r="S40" i="71" s="1"/>
  <c r="D37" i="71"/>
  <c r="Q36" i="71"/>
  <c r="AB36" i="71" s="1"/>
  <c r="P36" i="71"/>
  <c r="O36" i="71"/>
  <c r="N36" i="71"/>
  <c r="Q35" i="71"/>
  <c r="AB31" i="71" s="1"/>
  <c r="P35" i="71"/>
  <c r="AA35" i="71" s="1"/>
  <c r="O35" i="71"/>
  <c r="Y35" i="71"/>
  <c r="Z35" i="71" s="1"/>
  <c r="N35" i="71"/>
  <c r="X34" i="71" s="1"/>
  <c r="Q34" i="71"/>
  <c r="AB34" i="71"/>
  <c r="P34" i="71"/>
  <c r="O34" i="71"/>
  <c r="N34" i="71"/>
  <c r="F36" i="71"/>
  <c r="V36" i="71" s="1"/>
  <c r="Q33" i="71"/>
  <c r="F34" i="71" s="1"/>
  <c r="F35" i="71" s="1"/>
  <c r="P33" i="71"/>
  <c r="O33" i="71"/>
  <c r="N33" i="71"/>
  <c r="B34" i="71" s="1"/>
  <c r="B35" i="71" s="1"/>
  <c r="B36" i="71" s="1"/>
  <c r="S36" i="71" s="1"/>
  <c r="D33" i="71"/>
  <c r="Q32" i="71"/>
  <c r="AB32" i="71" s="1"/>
  <c r="P32" i="71"/>
  <c r="O32" i="71"/>
  <c r="N32" i="71"/>
  <c r="Q31" i="71"/>
  <c r="P31" i="71"/>
  <c r="O31" i="71"/>
  <c r="N31" i="71"/>
  <c r="Q30" i="71"/>
  <c r="P30" i="71"/>
  <c r="E31" i="71" s="1"/>
  <c r="E32" i="71" s="1"/>
  <c r="U32" i="71" s="1"/>
  <c r="O30" i="71"/>
  <c r="N30" i="71"/>
  <c r="Q29" i="71"/>
  <c r="F30" i="71" s="1"/>
  <c r="F31" i="71" s="1"/>
  <c r="F32" i="71" s="1"/>
  <c r="V32" i="71" s="1"/>
  <c r="P29" i="71"/>
  <c r="O29" i="71"/>
  <c r="Y29" i="71" s="1"/>
  <c r="Z29" i="71" s="1"/>
  <c r="N29" i="71"/>
  <c r="D29" i="71"/>
  <c r="O28" i="71"/>
  <c r="N28" i="71"/>
  <c r="X26" i="71" s="1"/>
  <c r="B30" i="71"/>
  <c r="B31" i="71"/>
  <c r="B32" i="71" s="1"/>
  <c r="S32" i="71" s="1"/>
  <c r="E30" i="71"/>
  <c r="E34" i="71"/>
  <c r="E35" i="71" s="1"/>
  <c r="E36" i="71" s="1"/>
  <c r="U36" i="71" s="1"/>
  <c r="C30" i="71"/>
  <c r="D30" i="71" s="1"/>
  <c r="AA30" i="71"/>
  <c r="C34" i="71"/>
  <c r="D34" i="71" s="1"/>
  <c r="AB33" i="71"/>
  <c r="X36" i="71"/>
  <c r="C38" i="71"/>
  <c r="D38" i="71" s="1"/>
  <c r="AA38" i="71"/>
  <c r="C28" i="71"/>
  <c r="C27" i="71" s="1"/>
  <c r="Y26" i="71"/>
  <c r="Z26" i="71" s="1"/>
  <c r="B28" i="71"/>
  <c r="B27" i="71" s="1"/>
  <c r="B26" i="71" s="1"/>
  <c r="C31" i="71"/>
  <c r="C32" i="71" s="1"/>
  <c r="D50" i="71"/>
  <c r="P28" i="71"/>
  <c r="E28" i="71" s="1"/>
  <c r="E67" i="71"/>
  <c r="E66" i="71" s="1"/>
  <c r="Q28" i="71"/>
  <c r="C63" i="71"/>
  <c r="C64" i="71" s="1"/>
  <c r="T68" i="71"/>
  <c r="O68" i="71"/>
  <c r="D68" i="71"/>
  <c r="C67" i="71"/>
  <c r="D67" i="71" s="1"/>
  <c r="C71" i="71"/>
  <c r="D71" i="71" s="1"/>
  <c r="E71" i="71"/>
  <c r="E70" i="71"/>
  <c r="D72" i="71"/>
  <c r="C75" i="71"/>
  <c r="C74" i="71" s="1"/>
  <c r="D74" i="71" s="1"/>
  <c r="E75" i="71"/>
  <c r="E74" i="71"/>
  <c r="D76" i="71"/>
  <c r="C79" i="71"/>
  <c r="D79" i="71" s="1"/>
  <c r="D80" i="71"/>
  <c r="C83" i="71"/>
  <c r="D83" i="71" s="1"/>
  <c r="C87" i="71"/>
  <c r="C86" i="71" s="1"/>
  <c r="D86" i="71" s="1"/>
  <c r="T28" i="71"/>
  <c r="F28" i="71"/>
  <c r="F27" i="71"/>
  <c r="F26" i="71" s="1"/>
  <c r="AB28" i="71"/>
  <c r="D28" i="71"/>
  <c r="U28" i="71" s="1"/>
  <c r="D63" i="71"/>
  <c r="C82" i="71"/>
  <c r="D82" i="71" s="1"/>
  <c r="D75" i="71"/>
  <c r="D87" i="71"/>
  <c r="C78" i="71"/>
  <c r="D78" i="71" s="1"/>
  <c r="C70" i="71"/>
  <c r="D70" i="71" s="1"/>
  <c r="P67" i="71"/>
  <c r="D31"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H19" i="21"/>
  <c r="D83" i="21"/>
  <c r="F21" i="21"/>
  <c r="AA21" i="21" s="1"/>
  <c r="D81" i="21"/>
  <c r="G20" i="20"/>
  <c r="C22" i="20"/>
  <c r="B100" i="43" s="1"/>
  <c r="B57" i="43"/>
  <c r="B68" i="43"/>
  <c r="C29" i="39"/>
  <c r="S18" i="36"/>
  <c r="H25" i="40"/>
  <c r="AB25" i="40" s="1"/>
  <c r="J25" i="40"/>
  <c r="H29" i="39"/>
  <c r="AB29" i="39" s="1"/>
  <c r="J29" i="39"/>
  <c r="AC29" i="39" s="1"/>
  <c r="J18" i="36"/>
  <c r="AC18" i="36" s="1"/>
  <c r="H18" i="35"/>
  <c r="AB18" i="35" s="1"/>
  <c r="J18" i="35"/>
  <c r="W18" i="35" s="1"/>
  <c r="H21" i="37"/>
  <c r="F21" i="37"/>
  <c r="H21" i="34"/>
  <c r="AB21" i="34" s="1"/>
  <c r="H21" i="33"/>
  <c r="U21" i="33" s="1"/>
  <c r="F21" i="33"/>
  <c r="S21" i="33" s="1"/>
  <c r="E83" i="21"/>
  <c r="F83" i="21" s="1"/>
  <c r="H1" i="69"/>
  <c r="AC25" i="40"/>
  <c r="W25" i="40"/>
  <c r="W18" i="36"/>
  <c r="AB21" i="37"/>
  <c r="U21" i="37"/>
  <c r="U21" i="34"/>
  <c r="AB21" i="33"/>
  <c r="AC18" i="35"/>
  <c r="J21" i="37"/>
  <c r="W21" i="37" s="1"/>
  <c r="J21" i="34"/>
  <c r="W21" i="34" s="1"/>
  <c r="J21" i="33"/>
  <c r="W21" i="33" s="1"/>
  <c r="H21" i="21"/>
  <c r="U21" i="21" s="1"/>
  <c r="F38" i="69"/>
  <c r="E37" i="69"/>
  <c r="F36" i="69"/>
  <c r="F35" i="69"/>
  <c r="F21" i="69"/>
  <c r="F40" i="69" s="1"/>
  <c r="F20" i="69"/>
  <c r="F39" i="69" s="1"/>
  <c r="E10" i="69"/>
  <c r="E9" i="69"/>
  <c r="C7" i="69"/>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D33" i="43"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G493" i="3" s="1"/>
  <c r="AC493" i="3"/>
  <c r="BB493" i="3"/>
  <c r="BC493" i="3"/>
  <c r="BD493" i="3"/>
  <c r="BD5" i="3" s="1"/>
  <c r="BE493" i="3"/>
  <c r="BF493" i="3"/>
  <c r="BG493" i="3"/>
  <c r="BG5" i="3" s="1"/>
  <c r="BH493" i="3"/>
  <c r="BI493" i="3"/>
  <c r="BJ493" i="3"/>
  <c r="BK493" i="3"/>
  <c r="BM493" i="3"/>
  <c r="BM5" i="3" s="1"/>
  <c r="BN493" i="3"/>
  <c r="BO493" i="3"/>
  <c r="BP493" i="3"/>
  <c r="BP5" i="3" s="1"/>
  <c r="BR493" i="3"/>
  <c r="BS493" i="3"/>
  <c r="BT493" i="3"/>
  <c r="H494" i="3"/>
  <c r="G494" i="3" s="1"/>
  <c r="AC494" i="3"/>
  <c r="AC5" i="3" s="1"/>
  <c r="BB494" i="3"/>
  <c r="BC494" i="3"/>
  <c r="BD494" i="3"/>
  <c r="BE494" i="3"/>
  <c r="BF494" i="3"/>
  <c r="BG494" i="3"/>
  <c r="BH494" i="3"/>
  <c r="BI494" i="3"/>
  <c r="BJ494" i="3"/>
  <c r="BK494" i="3"/>
  <c r="BM494" i="3"/>
  <c r="BL494" i="3" s="1"/>
  <c r="BN494" i="3"/>
  <c r="BN5" i="3" s="1"/>
  <c r="BO494" i="3"/>
  <c r="BP494" i="3"/>
  <c r="BQ494" i="3"/>
  <c r="BR494" i="3"/>
  <c r="BS494" i="3"/>
  <c r="BT494" i="3"/>
  <c r="H495" i="3"/>
  <c r="G495" i="3" s="1"/>
  <c r="AC495" i="3"/>
  <c r="BB495" i="3"/>
  <c r="BC495" i="3"/>
  <c r="BD495" i="3"/>
  <c r="BE495" i="3"/>
  <c r="BE5" i="3" s="1"/>
  <c r="BF495" i="3"/>
  <c r="BG495" i="3"/>
  <c r="BH495" i="3"/>
  <c r="BI495" i="3"/>
  <c r="BJ495" i="3"/>
  <c r="BK495" i="3"/>
  <c r="BM495" i="3"/>
  <c r="BL495" i="3" s="1"/>
  <c r="BN495" i="3"/>
  <c r="BO495" i="3"/>
  <c r="BP495" i="3"/>
  <c r="BR495" i="3"/>
  <c r="BS495" i="3"/>
  <c r="BT495" i="3"/>
  <c r="H496" i="3"/>
  <c r="AC496" i="3"/>
  <c r="G496" i="3" s="1"/>
  <c r="BB496" i="3"/>
  <c r="BC496" i="3"/>
  <c r="BD496" i="3"/>
  <c r="BE496" i="3"/>
  <c r="BF496" i="3"/>
  <c r="BF5" i="3" s="1"/>
  <c r="BG496" i="3"/>
  <c r="BH496" i="3"/>
  <c r="BI496" i="3"/>
  <c r="BJ496" i="3"/>
  <c r="BK496" i="3"/>
  <c r="BM496" i="3"/>
  <c r="BN496" i="3"/>
  <c r="BO496" i="3"/>
  <c r="BO5" i="3" s="1"/>
  <c r="BP496" i="3"/>
  <c r="BQ496" i="3"/>
  <c r="BR496" i="3"/>
  <c r="BS496" i="3"/>
  <c r="BT496" i="3"/>
  <c r="H497" i="3"/>
  <c r="AC497" i="3"/>
  <c r="G497" i="3" s="1"/>
  <c r="BB497" i="3"/>
  <c r="BA497" i="3" s="1"/>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BT5" i="3" s="1"/>
  <c r="H500" i="3"/>
  <c r="G500" i="3" s="1"/>
  <c r="AC500" i="3"/>
  <c r="BB500" i="3"/>
  <c r="BC500" i="3"/>
  <c r="BD500" i="3"/>
  <c r="BE500" i="3"/>
  <c r="BF500" i="3"/>
  <c r="BG500" i="3"/>
  <c r="BH500" i="3"/>
  <c r="BI500" i="3"/>
  <c r="BJ500" i="3"/>
  <c r="BK500" i="3"/>
  <c r="BM500" i="3"/>
  <c r="BL500" i="3" s="1"/>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A502" i="3" s="1"/>
  <c r="BE502" i="3"/>
  <c r="BF502" i="3"/>
  <c r="BG502" i="3"/>
  <c r="BH502" i="3"/>
  <c r="BI502" i="3"/>
  <c r="BJ502" i="3"/>
  <c r="BK502" i="3"/>
  <c r="BM502" i="3"/>
  <c r="BN502" i="3"/>
  <c r="BO502" i="3"/>
  <c r="BP502" i="3"/>
  <c r="BQ502" i="3"/>
  <c r="BR502" i="3"/>
  <c r="BS502" i="3"/>
  <c r="BT502" i="3"/>
  <c r="H503" i="3"/>
  <c r="G503" i="3" s="1"/>
  <c r="AC503" i="3"/>
  <c r="BB503" i="3"/>
  <c r="BC503" i="3"/>
  <c r="BD503" i="3"/>
  <c r="BA503" i="3" s="1"/>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L504" i="3" s="1"/>
  <c r="BO504" i="3"/>
  <c r="BP504" i="3"/>
  <c r="BQ504" i="3"/>
  <c r="BR504" i="3"/>
  <c r="BS504" i="3"/>
  <c r="BT504" i="3"/>
  <c r="H505" i="3"/>
  <c r="AC505" i="3"/>
  <c r="G505" i="3" s="1"/>
  <c r="BB505" i="3"/>
  <c r="BC505" i="3"/>
  <c r="BD505" i="3"/>
  <c r="BE505" i="3"/>
  <c r="BF505" i="3"/>
  <c r="BG505" i="3"/>
  <c r="BH505" i="3"/>
  <c r="BI505" i="3"/>
  <c r="BJ505" i="3"/>
  <c r="BK505" i="3"/>
  <c r="BM505" i="3"/>
  <c r="BN505" i="3"/>
  <c r="BL505" i="3" s="1"/>
  <c r="BO505" i="3"/>
  <c r="BP505" i="3"/>
  <c r="BR505" i="3"/>
  <c r="BS505" i="3"/>
  <c r="BT505" i="3"/>
  <c r="H506" i="3"/>
  <c r="AC506" i="3"/>
  <c r="BB506" i="3"/>
  <c r="BC506" i="3"/>
  <c r="BD506" i="3"/>
  <c r="BE506" i="3"/>
  <c r="BF506" i="3"/>
  <c r="BG506" i="3"/>
  <c r="BH506" i="3"/>
  <c r="BI506" i="3"/>
  <c r="BJ506" i="3"/>
  <c r="BK506" i="3"/>
  <c r="BM506" i="3"/>
  <c r="BN506" i="3"/>
  <c r="BO506" i="3"/>
  <c r="BL506" i="3" s="1"/>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A509" i="3" s="1"/>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A512" i="3" s="1"/>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L513" i="3" s="1"/>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A515" i="3" s="1"/>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L516" i="3" s="1"/>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L520" i="3" s="1"/>
  <c r="BP520" i="3"/>
  <c r="BQ520" i="3"/>
  <c r="BR520" i="3"/>
  <c r="BS520" i="3"/>
  <c r="BT520" i="3"/>
  <c r="H521" i="3"/>
  <c r="BB521" i="3"/>
  <c r="BC521" i="3"/>
  <c r="BA521" i="3" s="1"/>
  <c r="BD521" i="3"/>
  <c r="BE521" i="3"/>
  <c r="BF521" i="3"/>
  <c r="BG521" i="3"/>
  <c r="BH521" i="3"/>
  <c r="BI521" i="3"/>
  <c r="BJ521" i="3"/>
  <c r="BK521" i="3"/>
  <c r="BM521" i="3"/>
  <c r="BN521" i="3"/>
  <c r="BO521" i="3"/>
  <c r="BP521" i="3"/>
  <c r="BR521" i="3"/>
  <c r="BS521" i="3"/>
  <c r="BT521" i="3"/>
  <c r="H522" i="3"/>
  <c r="G522" i="3" s="1"/>
  <c r="AC522" i="3"/>
  <c r="BB522" i="3"/>
  <c r="BC522" i="3"/>
  <c r="BD522" i="3"/>
  <c r="BA522" i="3" s="1"/>
  <c r="BE522" i="3"/>
  <c r="BF522" i="3"/>
  <c r="BG522" i="3"/>
  <c r="BH522" i="3"/>
  <c r="BI522" i="3"/>
  <c r="BJ522" i="3"/>
  <c r="BK522" i="3"/>
  <c r="BM522" i="3"/>
  <c r="BL522" i="3" s="1"/>
  <c r="BN522" i="3"/>
  <c r="BO522" i="3"/>
  <c r="BP522" i="3"/>
  <c r="BQ522" i="3"/>
  <c r="BR522" i="3"/>
  <c r="BS522" i="3"/>
  <c r="BT522" i="3"/>
  <c r="H523" i="3"/>
  <c r="G523" i="3" s="1"/>
  <c r="AC523" i="3"/>
  <c r="BB523" i="3"/>
  <c r="BC523" i="3"/>
  <c r="BD523" i="3"/>
  <c r="BA523" i="3" s="1"/>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A528" i="3" s="1"/>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L532" i="3" s="1"/>
  <c r="BO532" i="3"/>
  <c r="BP532" i="3"/>
  <c r="BQ532" i="3"/>
  <c r="BR532" i="3"/>
  <c r="BS532" i="3"/>
  <c r="BT532" i="3"/>
  <c r="H533" i="3"/>
  <c r="AC533" i="3"/>
  <c r="G533" i="3" s="1"/>
  <c r="BB533" i="3"/>
  <c r="BA533" i="3" s="1"/>
  <c r="BC533" i="3"/>
  <c r="BD533" i="3"/>
  <c r="BE533" i="3"/>
  <c r="BF533" i="3"/>
  <c r="BG533" i="3"/>
  <c r="BH533" i="3"/>
  <c r="BI533" i="3"/>
  <c r="BJ533" i="3"/>
  <c r="BK533" i="3"/>
  <c r="BM533" i="3"/>
  <c r="BN533" i="3"/>
  <c r="BO533" i="3"/>
  <c r="BP533" i="3"/>
  <c r="BR533" i="3"/>
  <c r="BS533" i="3"/>
  <c r="BT533" i="3"/>
  <c r="H534" i="3"/>
  <c r="AC534" i="3"/>
  <c r="BB534" i="3"/>
  <c r="BA534" i="3" s="1"/>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A538" i="3" s="1"/>
  <c r="AZ538" i="3" s="1"/>
  <c r="BE538" i="3"/>
  <c r="BF538" i="3"/>
  <c r="BG538" i="3"/>
  <c r="BH538" i="3"/>
  <c r="BI538" i="3"/>
  <c r="BJ538" i="3"/>
  <c r="BK538" i="3"/>
  <c r="BM538" i="3"/>
  <c r="BN538" i="3"/>
  <c r="BO538" i="3"/>
  <c r="BP538" i="3"/>
  <c r="BQ538" i="3"/>
  <c r="BR538" i="3"/>
  <c r="BS538" i="3"/>
  <c r="BT538" i="3"/>
  <c r="H539" i="3"/>
  <c r="G539" i="3" s="1"/>
  <c r="AC539" i="3"/>
  <c r="BB539" i="3"/>
  <c r="BC539" i="3"/>
  <c r="BD539" i="3"/>
  <c r="BA539" i="3" s="1"/>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L540" i="3" s="1"/>
  <c r="BO540" i="3"/>
  <c r="BP540" i="3"/>
  <c r="BQ540" i="3"/>
  <c r="BR540" i="3"/>
  <c r="BS540" i="3"/>
  <c r="BT540" i="3"/>
  <c r="H541" i="3"/>
  <c r="AC541" i="3"/>
  <c r="G541" i="3" s="1"/>
  <c r="BB541" i="3"/>
  <c r="BC541" i="3"/>
  <c r="BD541" i="3"/>
  <c r="BE541" i="3"/>
  <c r="BA541" i="3" s="1"/>
  <c r="BF541" i="3"/>
  <c r="BG541" i="3"/>
  <c r="BH541" i="3"/>
  <c r="BI541" i="3"/>
  <c r="BJ541" i="3"/>
  <c r="BK541" i="3"/>
  <c r="BM541" i="3"/>
  <c r="BN541" i="3"/>
  <c r="BL541" i="3" s="1"/>
  <c r="BO541" i="3"/>
  <c r="BP541" i="3"/>
  <c r="BR541" i="3"/>
  <c r="BS541" i="3"/>
  <c r="BT541" i="3"/>
  <c r="H542" i="3"/>
  <c r="AC542" i="3"/>
  <c r="BB542" i="3"/>
  <c r="BC542" i="3"/>
  <c r="BD542" i="3"/>
  <c r="BE542" i="3"/>
  <c r="BF542" i="3"/>
  <c r="BG542" i="3"/>
  <c r="BH542" i="3"/>
  <c r="BI542" i="3"/>
  <c r="BJ542" i="3"/>
  <c r="BK542" i="3"/>
  <c r="BM542" i="3"/>
  <c r="BN542" i="3"/>
  <c r="BO542" i="3"/>
  <c r="BL542" i="3" s="1"/>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L545" i="3" s="1"/>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A548" i="3" s="1"/>
  <c r="AZ548" i="3" s="1"/>
  <c r="BC548" i="3"/>
  <c r="BD548" i="3"/>
  <c r="BE548" i="3"/>
  <c r="BF548" i="3"/>
  <c r="BG548" i="3"/>
  <c r="BH548" i="3"/>
  <c r="BI548" i="3"/>
  <c r="BJ548" i="3"/>
  <c r="BK548" i="3"/>
  <c r="BM548" i="3"/>
  <c r="BN548" i="3"/>
  <c r="BL548" i="3" s="1"/>
  <c r="BO548" i="3"/>
  <c r="BP548" i="3"/>
  <c r="BQ548" i="3"/>
  <c r="BR548" i="3"/>
  <c r="BS548" i="3"/>
  <c r="BT548" i="3"/>
  <c r="H549" i="3"/>
  <c r="AC549" i="3"/>
  <c r="BB549" i="3"/>
  <c r="BA549" i="3" s="1"/>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L551" i="3" s="1"/>
  <c r="BP551" i="3"/>
  <c r="BR551" i="3"/>
  <c r="BS551" i="3"/>
  <c r="BT551" i="3"/>
  <c r="H552" i="3"/>
  <c r="G552" i="3" s="1"/>
  <c r="AC552" i="3"/>
  <c r="BB552" i="3"/>
  <c r="BC552" i="3"/>
  <c r="BD552" i="3"/>
  <c r="BE552" i="3"/>
  <c r="BF552" i="3"/>
  <c r="BG552" i="3"/>
  <c r="BH552" i="3"/>
  <c r="BI552" i="3"/>
  <c r="BJ552" i="3"/>
  <c r="BK552" i="3"/>
  <c r="BM552" i="3"/>
  <c r="BN552" i="3"/>
  <c r="BO552" i="3"/>
  <c r="BP552" i="3"/>
  <c r="BL552" i="3" s="1"/>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A583" i="3" s="1"/>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S42" i="34" s="1"/>
  <c r="J38" i="34"/>
  <c r="W38" i="34" s="1"/>
  <c r="D114" i="34"/>
  <c r="F38" i="34"/>
  <c r="AA38" i="34" s="1"/>
  <c r="S38" i="34"/>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s="1"/>
  <c r="D86" i="40"/>
  <c r="E86" i="40" s="1"/>
  <c r="F86" i="40" s="1"/>
  <c r="G86" i="40"/>
  <c r="D84" i="40"/>
  <c r="E84" i="40" s="1"/>
  <c r="F84" i="40" s="1"/>
  <c r="G84" i="40" s="1"/>
  <c r="B81" i="40"/>
  <c r="B79" i="40"/>
  <c r="J13" i="40" s="1"/>
  <c r="W13" i="40" s="1"/>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H8" i="40"/>
  <c r="AB8" i="40"/>
  <c r="F8" i="40"/>
  <c r="AA8" i="40" s="1"/>
  <c r="D123" i="39"/>
  <c r="E123" i="39" s="1"/>
  <c r="F123" i="39" s="1"/>
  <c r="G123" i="39" s="1"/>
  <c r="D119" i="39"/>
  <c r="E119" i="39" s="1"/>
  <c r="F119" i="39" s="1"/>
  <c r="G119" i="39" s="1"/>
  <c r="H119" i="39" s="1"/>
  <c r="I119" i="39" s="1"/>
  <c r="J119" i="39" s="1"/>
  <c r="K119" i="39" s="1"/>
  <c r="L119" i="39" s="1"/>
  <c r="M119" i="39" s="1"/>
  <c r="B113" i="39"/>
  <c r="J37" i="39" s="1"/>
  <c r="D108" i="39"/>
  <c r="F34" i="39"/>
  <c r="S34" i="39" s="1"/>
  <c r="D106" i="39"/>
  <c r="E106" i="39" s="1"/>
  <c r="D104" i="39"/>
  <c r="E104" i="39" s="1"/>
  <c r="F104" i="39" s="1"/>
  <c r="G104" i="39" s="1"/>
  <c r="H104" i="39" s="1"/>
  <c r="I104" i="39" s="1"/>
  <c r="J104" i="39" s="1"/>
  <c r="K104" i="39" s="1"/>
  <c r="L104" i="39" s="1"/>
  <c r="M104" i="39" s="1"/>
  <c r="D100" i="39"/>
  <c r="E100" i="39" s="1"/>
  <c r="D98" i="39"/>
  <c r="E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H40" i="39" s="1"/>
  <c r="AB40" i="39" s="1"/>
  <c r="H35" i="39"/>
  <c r="AB35" i="39" s="1"/>
  <c r="B103" i="39"/>
  <c r="H31" i="39" s="1"/>
  <c r="AB31" i="39" s="1"/>
  <c r="D96" i="39"/>
  <c r="J23" i="39"/>
  <c r="AC23" i="39" s="1"/>
  <c r="D94" i="39"/>
  <c r="E94" i="39" s="1"/>
  <c r="F94" i="39" s="1"/>
  <c r="G94" i="39" s="1"/>
  <c r="D92" i="39"/>
  <c r="E92" i="39" s="1"/>
  <c r="F92" i="39" s="1"/>
  <c r="G92" i="39" s="1"/>
  <c r="D90" i="39"/>
  <c r="E90" i="39"/>
  <c r="F90" i="39" s="1"/>
  <c r="G90" i="39" s="1"/>
  <c r="D88" i="39"/>
  <c r="E88" i="39" s="1"/>
  <c r="F88" i="39" s="1"/>
  <c r="G88" i="39" s="1"/>
  <c r="B85" i="39"/>
  <c r="B83" i="39"/>
  <c r="B81" i="39"/>
  <c r="J12" i="39" s="1"/>
  <c r="AC12" i="39" s="1"/>
  <c r="M78" i="39"/>
  <c r="L78" i="39"/>
  <c r="K78" i="39"/>
  <c r="J78" i="39"/>
  <c r="I78" i="39"/>
  <c r="H78" i="39"/>
  <c r="G78" i="39"/>
  <c r="F78" i="39"/>
  <c r="E78" i="39"/>
  <c r="D78" i="39"/>
  <c r="C78" i="39"/>
  <c r="P48" i="39"/>
  <c r="P47" i="39"/>
  <c r="V46" i="39"/>
  <c r="T46" i="39"/>
  <c r="R46" i="39"/>
  <c r="P46"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AB26" i="37" s="1"/>
  <c r="D79" i="37"/>
  <c r="E79" i="37" s="1"/>
  <c r="D75" i="37"/>
  <c r="E75" i="37"/>
  <c r="D73" i="37"/>
  <c r="E73" i="37" s="1"/>
  <c r="F73" i="37" s="1"/>
  <c r="D71" i="37"/>
  <c r="H15" i="37"/>
  <c r="AB15" i="37" s="1"/>
  <c r="B68" i="37"/>
  <c r="H14" i="37" s="1"/>
  <c r="AB14" i="37" s="1"/>
  <c r="B66" i="37"/>
  <c r="B64" i="37"/>
  <c r="J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c r="Q25" i="37"/>
  <c r="Z25" i="37"/>
  <c r="J25" i="37"/>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AB34" i="36" s="1"/>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F24" i="36" s="1"/>
  <c r="B71" i="36"/>
  <c r="H23" i="36" s="1"/>
  <c r="D70" i="36"/>
  <c r="H22" i="36"/>
  <c r="AB22" i="36" s="1"/>
  <c r="D68" i="36"/>
  <c r="E68" i="36" s="1"/>
  <c r="F68" i="36" s="1"/>
  <c r="G68" i="36" s="1"/>
  <c r="D64" i="36"/>
  <c r="E64" i="36" s="1"/>
  <c r="F64" i="36" s="1"/>
  <c r="G64" i="36" s="1"/>
  <c r="J16" i="36"/>
  <c r="W16" i="36" s="1"/>
  <c r="D62" i="36"/>
  <c r="E62" i="36"/>
  <c r="F62" i="36" s="1"/>
  <c r="G62" i="36" s="1"/>
  <c r="B59" i="36"/>
  <c r="B57" i="36"/>
  <c r="H12" i="36" s="1"/>
  <c r="U12" i="36" s="1"/>
  <c r="B55" i="36"/>
  <c r="C51" i="36"/>
  <c r="H9" i="36" s="1"/>
  <c r="AB9" i="36" s="1"/>
  <c r="P37" i="36"/>
  <c r="P36" i="36"/>
  <c r="V35" i="36"/>
  <c r="T35" i="36"/>
  <c r="R35" i="36"/>
  <c r="P35" i="36"/>
  <c r="Q34" i="36"/>
  <c r="Z34" i="36"/>
  <c r="Q33" i="36"/>
  <c r="Z33" i="36" s="1"/>
  <c r="Q32" i="36"/>
  <c r="Z32" i="36"/>
  <c r="Q31" i="36"/>
  <c r="Z31" i="36" s="1"/>
  <c r="Q30" i="36"/>
  <c r="Z30" i="36"/>
  <c r="Q29" i="36"/>
  <c r="Z29" i="36" s="1"/>
  <c r="Q28" i="36"/>
  <c r="Z28" i="36"/>
  <c r="J28" i="36"/>
  <c r="Q27" i="36"/>
  <c r="Z27" i="36" s="1"/>
  <c r="Q26" i="36"/>
  <c r="Z26" i="36" s="1"/>
  <c r="H26" i="36"/>
  <c r="AB26" i="36" s="1"/>
  <c r="Q25" i="36"/>
  <c r="Z25" i="36" s="1"/>
  <c r="Q24" i="36"/>
  <c r="Z24" i="36"/>
  <c r="H24" i="36"/>
  <c r="AB24" i="36" s="1"/>
  <c r="Q23" i="36"/>
  <c r="Z23" i="36"/>
  <c r="J23" i="36"/>
  <c r="AC23" i="36" s="1"/>
  <c r="AB23" i="36"/>
  <c r="F23" i="36"/>
  <c r="AA23" i="36"/>
  <c r="Q22" i="36"/>
  <c r="Z22" i="36" s="1"/>
  <c r="J22" i="36"/>
  <c r="AC22" i="36"/>
  <c r="Q20" i="36"/>
  <c r="Z20" i="36" s="1"/>
  <c r="Q16" i="36"/>
  <c r="Z16" i="36"/>
  <c r="Q14" i="36"/>
  <c r="Z14" i="36" s="1"/>
  <c r="Q13" i="36"/>
  <c r="Z13" i="36"/>
  <c r="Q12" i="36"/>
  <c r="Z12" i="36" s="1"/>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B99" i="35"/>
  <c r="B97" i="35"/>
  <c r="B77" i="35"/>
  <c r="J25" i="35" s="1"/>
  <c r="B75" i="35"/>
  <c r="J24" i="35" s="1"/>
  <c r="AC24" i="35" s="1"/>
  <c r="B73" i="35"/>
  <c r="J23" i="35" s="1"/>
  <c r="AC23" i="35" s="1"/>
  <c r="H23" i="35"/>
  <c r="U23" i="35" s="1"/>
  <c r="B57" i="35"/>
  <c r="F11" i="35" s="1"/>
  <c r="S11" i="35" s="1"/>
  <c r="B61" i="35"/>
  <c r="B59" i="35"/>
  <c r="F12" i="35" s="1"/>
  <c r="B131" i="34"/>
  <c r="B129" i="34"/>
  <c r="J46" i="34" s="1"/>
  <c r="B127" i="34"/>
  <c r="B99" i="34"/>
  <c r="B97" i="34"/>
  <c r="B95" i="34"/>
  <c r="B93" i="34"/>
  <c r="B75" i="34"/>
  <c r="B73" i="34"/>
  <c r="F13" i="34" s="1"/>
  <c r="AA13" i="34" s="1"/>
  <c r="B71" i="34"/>
  <c r="F12" i="34" s="1"/>
  <c r="S12" i="34" s="1"/>
  <c r="B130" i="33"/>
  <c r="B128" i="33"/>
  <c r="B126" i="33"/>
  <c r="F44" i="33" s="1"/>
  <c r="S44" i="33" s="1"/>
  <c r="B98" i="33"/>
  <c r="F31" i="33" s="1"/>
  <c r="B96" i="33"/>
  <c r="B94" i="33"/>
  <c r="B74" i="33"/>
  <c r="B72" i="33"/>
  <c r="B70" i="33"/>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Q11" i="34"/>
  <c r="Z11" i="34" s="1"/>
  <c r="Q10" i="34"/>
  <c r="Z10" i="34"/>
  <c r="F10" i="34"/>
  <c r="AA10" i="34" s="1"/>
  <c r="Q9" i="34"/>
  <c r="Z9" i="34" s="1"/>
  <c r="H9" i="34"/>
  <c r="AB9" i="34" s="1"/>
  <c r="J8" i="34"/>
  <c r="AC8" i="34" s="1"/>
  <c r="H8" i="34"/>
  <c r="U8" i="34" s="1"/>
  <c r="F8" i="34"/>
  <c r="D121" i="33"/>
  <c r="E121" i="33" s="1"/>
  <c r="F109" i="33"/>
  <c r="E109" i="33"/>
  <c r="D109" i="33"/>
  <c r="C109" i="33"/>
  <c r="D91" i="33"/>
  <c r="E91" i="33"/>
  <c r="B88"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s="1"/>
  <c r="Q45" i="33"/>
  <c r="Z45" i="33" s="1"/>
  <c r="Q44" i="33"/>
  <c r="Z44" i="33"/>
  <c r="Q43" i="33"/>
  <c r="Z43" i="33" s="1"/>
  <c r="Q42" i="33"/>
  <c r="Z42" i="33"/>
  <c r="J42" i="33"/>
  <c r="AC42" i="33" s="1"/>
  <c r="Q41" i="33"/>
  <c r="Z41" i="33" s="1"/>
  <c r="Q40" i="33"/>
  <c r="Z40" i="33" s="1"/>
  <c r="J40" i="33"/>
  <c r="AC40" i="33" s="1"/>
  <c r="H40" i="33"/>
  <c r="AB40" i="33"/>
  <c r="AA40" i="33"/>
  <c r="Q39" i="33"/>
  <c r="Z39" i="33"/>
  <c r="J39" i="33"/>
  <c r="W39" i="33" s="1"/>
  <c r="Q38" i="33"/>
  <c r="Z38" i="33"/>
  <c r="J38" i="33"/>
  <c r="AC38" i="33" s="1"/>
  <c r="H38" i="33"/>
  <c r="AB38" i="33"/>
  <c r="F38" i="33"/>
  <c r="AA38" i="33" s="1"/>
  <c r="Q37" i="33"/>
  <c r="Z37" i="33"/>
  <c r="Q36" i="33"/>
  <c r="Z36" i="33" s="1"/>
  <c r="Q35" i="33"/>
  <c r="Z35" i="33"/>
  <c r="H35" i="33"/>
  <c r="U35" i="33" s="1"/>
  <c r="Q34" i="33"/>
  <c r="Z34" i="33"/>
  <c r="Q33" i="33"/>
  <c r="Z33" i="33" s="1"/>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B79" i="43"/>
  <c r="C18" i="20"/>
  <c r="B94" i="43" s="1"/>
  <c r="C17" i="20"/>
  <c r="B61" i="43"/>
  <c r="C16" i="20"/>
  <c r="C17" i="39" s="1"/>
  <c r="C15" i="20"/>
  <c r="E54" i="21"/>
  <c r="F54" i="21" s="1"/>
  <c r="I54" i="21"/>
  <c r="J54" i="21" s="1"/>
  <c r="G54" i="21"/>
  <c r="H54" i="21" s="1"/>
  <c r="D125" i="21"/>
  <c r="E125" i="21" s="1"/>
  <c r="F125" i="21" s="1"/>
  <c r="G125" i="21" s="1"/>
  <c r="D123" i="21"/>
  <c r="E123" i="21"/>
  <c r="F123" i="21" s="1"/>
  <c r="G123" i="21" s="1"/>
  <c r="H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B128" i="21"/>
  <c r="J45" i="21"/>
  <c r="W45" i="21" s="1"/>
  <c r="B126" i="21"/>
  <c r="B98" i="21"/>
  <c r="B96" i="21"/>
  <c r="B94" i="21"/>
  <c r="J29" i="21" s="1"/>
  <c r="AC29" i="21" s="1"/>
  <c r="B92" i="21"/>
  <c r="B90" i="2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G19"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c r="H43" i="21"/>
  <c r="AB43" i="21" s="1"/>
  <c r="F38" i="21"/>
  <c r="S38" i="2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c r="F26" i="21"/>
  <c r="S26" i="21" s="1"/>
  <c r="AB41" i="21"/>
  <c r="S41" i="21"/>
  <c r="AA41" i="21"/>
  <c r="F36" i="39"/>
  <c r="S36" i="39" s="1"/>
  <c r="H36" i="39"/>
  <c r="AB36" i="39" s="1"/>
  <c r="J35" i="39"/>
  <c r="AC35" i="39" s="1"/>
  <c r="F35" i="39"/>
  <c r="AA35" i="39"/>
  <c r="J36" i="39"/>
  <c r="AC36" i="39" s="1"/>
  <c r="U9" i="39"/>
  <c r="U30" i="37"/>
  <c r="W31" i="37"/>
  <c r="E103" i="37"/>
  <c r="F103" i="37"/>
  <c r="G103" i="37" s="1"/>
  <c r="H103" i="37" s="1"/>
  <c r="I103" i="37" s="1"/>
  <c r="J103" i="37" s="1"/>
  <c r="K103" i="37" s="1"/>
  <c r="L103" i="37" s="1"/>
  <c r="M103" i="37" s="1"/>
  <c r="F39" i="37"/>
  <c r="S39" i="37" s="1"/>
  <c r="F29" i="36"/>
  <c r="AA29" i="36" s="1"/>
  <c r="F16" i="36"/>
  <c r="AA16" i="36" s="1"/>
  <c r="J33" i="36"/>
  <c r="AC33" i="36" s="1"/>
  <c r="H22" i="35"/>
  <c r="AB22" i="35"/>
  <c r="AC27" i="35"/>
  <c r="W28" i="35"/>
  <c r="W22" i="35"/>
  <c r="S31" i="35"/>
  <c r="U34" i="35"/>
  <c r="F36" i="34"/>
  <c r="J35" i="34"/>
  <c r="U34" i="34"/>
  <c r="H39" i="33"/>
  <c r="AB39" i="33"/>
  <c r="S40" i="33"/>
  <c r="W33" i="33"/>
  <c r="S27" i="35"/>
  <c r="F11" i="40"/>
  <c r="AA11" i="40"/>
  <c r="H11" i="40"/>
  <c r="AB11" i="40" s="1"/>
  <c r="AA9" i="40"/>
  <c r="U9" i="40"/>
  <c r="W31" i="40"/>
  <c r="U34" i="40"/>
  <c r="F42" i="39"/>
  <c r="AA42" i="39" s="1"/>
  <c r="H39" i="39"/>
  <c r="U39" i="39" s="1"/>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s="1"/>
  <c r="F21" i="40"/>
  <c r="AA21" i="40"/>
  <c r="J21" i="40"/>
  <c r="W21" i="40" s="1"/>
  <c r="H42" i="39"/>
  <c r="AB42" i="39" s="1"/>
  <c r="J34" i="39"/>
  <c r="AC34" i="39" s="1"/>
  <c r="J31" i="39"/>
  <c r="W31" i="39" s="1"/>
  <c r="J19" i="39"/>
  <c r="AC19" i="39" s="1"/>
  <c r="J17" i="39"/>
  <c r="F11" i="21"/>
  <c r="S11" i="21" s="1"/>
  <c r="S40" i="21"/>
  <c r="H32" i="33"/>
  <c r="AB32" i="33"/>
  <c r="H11" i="21"/>
  <c r="U11" i="21" s="1"/>
  <c r="J11" i="21"/>
  <c r="W11" i="21" s="1"/>
  <c r="H37" i="40"/>
  <c r="U37" i="40"/>
  <c r="H36" i="40"/>
  <c r="AB36" i="40" s="1"/>
  <c r="F35" i="40"/>
  <c r="AA35" i="40" s="1"/>
  <c r="H23" i="40"/>
  <c r="AB23" i="40" s="1"/>
  <c r="H17" i="40"/>
  <c r="U17" i="40"/>
  <c r="J15" i="40"/>
  <c r="W15" i="40" s="1"/>
  <c r="J11" i="40"/>
  <c r="W11" i="40" s="1"/>
  <c r="AB12" i="35"/>
  <c r="AB12" i="36"/>
  <c r="F37" i="39"/>
  <c r="AA37" i="39" s="1"/>
  <c r="J34" i="36"/>
  <c r="W34" i="36" s="1"/>
  <c r="J30" i="35"/>
  <c r="W30" i="35" s="1"/>
  <c r="H30" i="35"/>
  <c r="AB30" i="35" s="1"/>
  <c r="F22" i="35"/>
  <c r="AA22" i="35" s="1"/>
  <c r="H10" i="35"/>
  <c r="U10" i="35" s="1"/>
  <c r="H16" i="36"/>
  <c r="AB16" i="36" s="1"/>
  <c r="E85" i="36"/>
  <c r="F85" i="36" s="1"/>
  <c r="G85" i="36" s="1"/>
  <c r="H85" i="36" s="1"/>
  <c r="I85" i="36" s="1"/>
  <c r="J85" i="36"/>
  <c r="K85" i="36" s="1"/>
  <c r="L85" i="36" s="1"/>
  <c r="M85" i="36" s="1"/>
  <c r="J29" i="36"/>
  <c r="AC29" i="36" s="1"/>
  <c r="F12"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AB23" i="34" s="1"/>
  <c r="J23" i="34"/>
  <c r="F19" i="34"/>
  <c r="H17" i="34"/>
  <c r="U17" i="34" s="1"/>
  <c r="F15" i="34"/>
  <c r="AA15" i="34" s="1"/>
  <c r="J15" i="34"/>
  <c r="H15" i="34"/>
  <c r="AB15" i="34" s="1"/>
  <c r="W8" i="34"/>
  <c r="J28" i="34"/>
  <c r="W28" i="34" s="1"/>
  <c r="F41" i="33"/>
  <c r="AA41" i="33"/>
  <c r="S38" i="33"/>
  <c r="F32" i="33"/>
  <c r="AA32" i="33" s="1"/>
  <c r="J19" i="33"/>
  <c r="AC19" i="33" s="1"/>
  <c r="J15" i="33"/>
  <c r="AC15" i="33" s="1"/>
  <c r="F11" i="33"/>
  <c r="AA11" i="33" s="1"/>
  <c r="U40" i="33"/>
  <c r="W40" i="33"/>
  <c r="F37" i="40"/>
  <c r="AA37" i="40" s="1"/>
  <c r="F36" i="40"/>
  <c r="AA36" i="40"/>
  <c r="H28" i="40"/>
  <c r="U28" i="40" s="1"/>
  <c r="F23" i="40"/>
  <c r="AA23" i="40" s="1"/>
  <c r="F17" i="40"/>
  <c r="AA17" i="40" s="1"/>
  <c r="J17" i="40"/>
  <c r="W17" i="40"/>
  <c r="F15" i="40"/>
  <c r="S15" i="40" s="1"/>
  <c r="H15" i="40"/>
  <c r="AB15" i="40" s="1"/>
  <c r="S12" i="36"/>
  <c r="AA12"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AB17" i="34"/>
  <c r="S41" i="33"/>
  <c r="H37" i="33"/>
  <c r="AB37" i="33"/>
  <c r="H15" i="33"/>
  <c r="AB15" i="33" s="1"/>
  <c r="H11" i="33"/>
  <c r="AB11" i="33" s="1"/>
  <c r="F28" i="40"/>
  <c r="AA28" i="40"/>
  <c r="AC38" i="34"/>
  <c r="J37" i="34"/>
  <c r="AC37" i="34" s="1"/>
  <c r="J11" i="33"/>
  <c r="W11" i="33" s="1"/>
  <c r="S28" i="34"/>
  <c r="I123" i="21"/>
  <c r="J123" i="21" s="1"/>
  <c r="K123" i="21" s="1"/>
  <c r="L123" i="21" s="1"/>
  <c r="M123" i="21" s="1"/>
  <c r="J42" i="21"/>
  <c r="AC42" i="21"/>
  <c r="H42" i="21"/>
  <c r="U42" i="21" s="1"/>
  <c r="J44" i="34"/>
  <c r="F44" i="34"/>
  <c r="AA44" i="34" s="1"/>
  <c r="J10" i="35"/>
  <c r="AC10" i="35" s="1"/>
  <c r="J14" i="21"/>
  <c r="W14" i="21"/>
  <c r="F14" i="21"/>
  <c r="S14" i="21" s="1"/>
  <c r="H14" i="21"/>
  <c r="U14" i="21" s="1"/>
  <c r="H28" i="21"/>
  <c r="AB28" i="21" s="1"/>
  <c r="F28" i="21"/>
  <c r="AA28" i="21" s="1"/>
  <c r="J28" i="21"/>
  <c r="W28" i="21" s="1"/>
  <c r="H30" i="21"/>
  <c r="U30" i="21" s="1"/>
  <c r="F30" i="21"/>
  <c r="S30" i="21" s="1"/>
  <c r="J30" i="21"/>
  <c r="AC30" i="21"/>
  <c r="J44" i="21"/>
  <c r="H44" i="21"/>
  <c r="U44" i="21" s="1"/>
  <c r="F44" i="21"/>
  <c r="AA44" i="21" s="1"/>
  <c r="H46" i="21"/>
  <c r="U46" i="21" s="1"/>
  <c r="E119" i="21"/>
  <c r="F119" i="21" s="1"/>
  <c r="G119" i="21" s="1"/>
  <c r="H119" i="21" s="1"/>
  <c r="I119" i="21" s="1"/>
  <c r="J119" i="21" s="1"/>
  <c r="K119" i="21" s="1"/>
  <c r="L119" i="21" s="1"/>
  <c r="M119" i="21" s="1"/>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H29" i="21"/>
  <c r="U29" i="21"/>
  <c r="F45" i="21"/>
  <c r="AA45" i="21" s="1"/>
  <c r="F27" i="33"/>
  <c r="AA27" i="33" s="1"/>
  <c r="J13" i="33"/>
  <c r="H13" i="33"/>
  <c r="U13" i="33" s="1"/>
  <c r="F13" i="33"/>
  <c r="S13" i="33" s="1"/>
  <c r="J29" i="33"/>
  <c r="H29" i="33"/>
  <c r="U29" i="33" s="1"/>
  <c r="F29" i="33"/>
  <c r="S29" i="33" s="1"/>
  <c r="J31" i="33"/>
  <c r="W31" i="33" s="1"/>
  <c r="H31" i="33"/>
  <c r="H45" i="33"/>
  <c r="AB45" i="33" s="1"/>
  <c r="U45" i="33"/>
  <c r="J45" i="33"/>
  <c r="W45" i="33" s="1"/>
  <c r="F45" i="33"/>
  <c r="AA45" i="33"/>
  <c r="J14" i="34"/>
  <c r="W14" i="34" s="1"/>
  <c r="F14" i="34"/>
  <c r="S14" i="34" s="1"/>
  <c r="H14" i="34"/>
  <c r="H30" i="34"/>
  <c r="F30" i="34"/>
  <c r="S30" i="34" s="1"/>
  <c r="J30" i="34"/>
  <c r="H32" i="34"/>
  <c r="F32" i="34"/>
  <c r="J32" i="34"/>
  <c r="W32" i="34" s="1"/>
  <c r="H46" i="34"/>
  <c r="U46" i="34" s="1"/>
  <c r="F46" i="34"/>
  <c r="H11" i="35"/>
  <c r="AB11" i="35" s="1"/>
  <c r="J11" i="35"/>
  <c r="W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H36" i="37"/>
  <c r="AB36" i="37" s="1"/>
  <c r="F107" i="37"/>
  <c r="G107" i="37" s="1"/>
  <c r="J37" i="37"/>
  <c r="AC37" i="37" s="1"/>
  <c r="H37" i="37"/>
  <c r="U37" i="37" s="1"/>
  <c r="H40" i="37"/>
  <c r="U40" i="37" s="1"/>
  <c r="J40" i="37"/>
  <c r="AC40" i="37"/>
  <c r="F40" i="37"/>
  <c r="AA40" i="37" s="1"/>
  <c r="AC12" i="40"/>
  <c r="H14" i="33"/>
  <c r="U14" i="33" s="1"/>
  <c r="H30" i="33"/>
  <c r="AB30" i="33" s="1"/>
  <c r="F30" i="33"/>
  <c r="J30" i="33"/>
  <c r="H44" i="33"/>
  <c r="AB44" i="33" s="1"/>
  <c r="J44" i="33"/>
  <c r="AC44" i="33" s="1"/>
  <c r="J46" i="33"/>
  <c r="AC46" i="33"/>
  <c r="F46" i="33"/>
  <c r="AA46" i="33" s="1"/>
  <c r="H46" i="33"/>
  <c r="AB46" i="33"/>
  <c r="H13" i="34"/>
  <c r="U13" i="34" s="1"/>
  <c r="J13" i="34"/>
  <c r="W13" i="34" s="1"/>
  <c r="J29" i="34"/>
  <c r="F29" i="34"/>
  <c r="S29" i="34" s="1"/>
  <c r="H29" i="34"/>
  <c r="AB29" i="34" s="1"/>
  <c r="F31" i="34"/>
  <c r="S31" i="34" s="1"/>
  <c r="H45" i="34"/>
  <c r="U45" i="34" s="1"/>
  <c r="J45" i="34"/>
  <c r="W45" i="34"/>
  <c r="F45" i="34"/>
  <c r="S45" i="34" s="1"/>
  <c r="J47" i="34"/>
  <c r="W47" i="34" s="1"/>
  <c r="AC47" i="34"/>
  <c r="F13" i="35"/>
  <c r="J13" i="35"/>
  <c r="AC13" i="35"/>
  <c r="H13" i="35"/>
  <c r="U13" i="35" s="1"/>
  <c r="W25" i="35"/>
  <c r="F25" i="35"/>
  <c r="S25" i="35" s="1"/>
  <c r="H25" i="35"/>
  <c r="AB25" i="35"/>
  <c r="J35" i="35"/>
  <c r="AC35" i="35" s="1"/>
  <c r="F35" i="35"/>
  <c r="AA35" i="35"/>
  <c r="H35" i="35"/>
  <c r="J25" i="36"/>
  <c r="W25" i="36" s="1"/>
  <c r="F25" i="36"/>
  <c r="S25" i="36" s="1"/>
  <c r="H25" i="36"/>
  <c r="AB25" i="36" s="1"/>
  <c r="H13" i="37"/>
  <c r="AB13" i="37" s="1"/>
  <c r="F13" i="37"/>
  <c r="S13" i="37" s="1"/>
  <c r="J13" i="37"/>
  <c r="W13" i="37" s="1"/>
  <c r="F28" i="37"/>
  <c r="AA28" i="37" s="1"/>
  <c r="J28" i="37"/>
  <c r="AC28" i="37" s="1"/>
  <c r="H28" i="37"/>
  <c r="J38" i="37"/>
  <c r="AC38" i="37" s="1"/>
  <c r="F43" i="39"/>
  <c r="AA43" i="39" s="1"/>
  <c r="H43" i="39"/>
  <c r="J14" i="39"/>
  <c r="AC14" i="39" s="1"/>
  <c r="F14" i="39"/>
  <c r="H14" i="39"/>
  <c r="AB14" i="39" s="1"/>
  <c r="F12" i="40"/>
  <c r="S12" i="40" s="1"/>
  <c r="H12" i="40"/>
  <c r="AB12" i="40" s="1"/>
  <c r="H30" i="40"/>
  <c r="AB30" i="40" s="1"/>
  <c r="F33" i="40"/>
  <c r="AA33" i="40"/>
  <c r="H33" i="40"/>
  <c r="U33" i="40" s="1"/>
  <c r="J35" i="40"/>
  <c r="W35" i="40" s="1"/>
  <c r="AC35" i="40"/>
  <c r="J37" i="40"/>
  <c r="AC37" i="40" s="1"/>
  <c r="H13" i="40"/>
  <c r="U13" i="40" s="1"/>
  <c r="F13" i="40"/>
  <c r="AA13" i="40"/>
  <c r="F14" i="37"/>
  <c r="S14" i="37" s="1"/>
  <c r="F27" i="37"/>
  <c r="AA27" i="37"/>
  <c r="F13" i="39"/>
  <c r="J13" i="39"/>
  <c r="W13" i="39" s="1"/>
  <c r="H13" i="39"/>
  <c r="H14" i="40"/>
  <c r="J14" i="40"/>
  <c r="W14" i="40" s="1"/>
  <c r="F14" i="40"/>
  <c r="S14" i="40" s="1"/>
  <c r="J14" i="37"/>
  <c r="J27" i="37"/>
  <c r="AC27" i="37"/>
  <c r="AA44" i="33"/>
  <c r="U46" i="33"/>
  <c r="J36" i="37"/>
  <c r="AC36" i="37" s="1"/>
  <c r="J10" i="36"/>
  <c r="AC10" i="36" s="1"/>
  <c r="AA14" i="37"/>
  <c r="S11" i="36"/>
  <c r="AB46" i="34"/>
  <c r="AA14" i="34"/>
  <c r="S45" i="33"/>
  <c r="AC28" i="21"/>
  <c r="F17" i="21"/>
  <c r="AA17" i="21" s="1"/>
  <c r="H17" i="21"/>
  <c r="AB17" i="21" s="1"/>
  <c r="F15" i="21"/>
  <c r="S15" i="21" s="1"/>
  <c r="U36" i="39"/>
  <c r="S35" i="39"/>
  <c r="G536" i="3"/>
  <c r="G535" i="3"/>
  <c r="G527" i="3"/>
  <c r="G514" i="3"/>
  <c r="G510" i="3"/>
  <c r="G584" i="3"/>
  <c r="G580" i="3"/>
  <c r="G576" i="3"/>
  <c r="G572" i="3"/>
  <c r="G568" i="3"/>
  <c r="G564" i="3"/>
  <c r="G560" i="3"/>
  <c r="G550" i="3"/>
  <c r="BL580" i="3"/>
  <c r="BL576" i="3"/>
  <c r="BL572" i="3"/>
  <c r="BL568" i="3"/>
  <c r="BL564" i="3"/>
  <c r="BL560" i="3"/>
  <c r="BL538" i="3"/>
  <c r="BL526" i="3"/>
  <c r="BL502" i="3"/>
  <c r="BL582" i="3"/>
  <c r="BL578" i="3"/>
  <c r="BL574" i="3"/>
  <c r="BL570" i="3"/>
  <c r="BL566" i="3"/>
  <c r="BL562" i="3"/>
  <c r="BL556" i="3"/>
  <c r="BL544" i="3"/>
  <c r="BL524" i="3"/>
  <c r="BL518" i="3"/>
  <c r="BA584" i="3"/>
  <c r="BA582" i="3"/>
  <c r="AZ582" i="3" s="1"/>
  <c r="BA580" i="3"/>
  <c r="BA578" i="3"/>
  <c r="BA576" i="3"/>
  <c r="AZ576" i="3" s="1"/>
  <c r="BA574" i="3"/>
  <c r="AZ574" i="3" s="1"/>
  <c r="BA572" i="3"/>
  <c r="AZ572" i="3" s="1"/>
  <c r="BA570" i="3"/>
  <c r="AZ570" i="3" s="1"/>
  <c r="BA568" i="3"/>
  <c r="AZ568" i="3" s="1"/>
  <c r="BA566" i="3"/>
  <c r="AZ566" i="3" s="1"/>
  <c r="BA564" i="3"/>
  <c r="BA562" i="3"/>
  <c r="BA560" i="3"/>
  <c r="AZ560" i="3" s="1"/>
  <c r="BA558" i="3"/>
  <c r="BA556" i="3"/>
  <c r="AZ556" i="3"/>
  <c r="BA554" i="3"/>
  <c r="BA542" i="3"/>
  <c r="BA530" i="3"/>
  <c r="BA520" i="3"/>
  <c r="BA514" i="3"/>
  <c r="BA508" i="3"/>
  <c r="BA496" i="3"/>
  <c r="BA581" i="3"/>
  <c r="BA579" i="3"/>
  <c r="BA577" i="3"/>
  <c r="BA575" i="3"/>
  <c r="BA573" i="3"/>
  <c r="BA571" i="3"/>
  <c r="BA569" i="3"/>
  <c r="BA567" i="3"/>
  <c r="BA565" i="3"/>
  <c r="AZ565" i="3" s="1"/>
  <c r="BA563" i="3"/>
  <c r="BA561" i="3"/>
  <c r="BA559" i="3"/>
  <c r="BA547" i="3"/>
  <c r="BA531" i="3"/>
  <c r="BA525" i="3"/>
  <c r="BA513" i="3"/>
  <c r="BA505" i="3"/>
  <c r="BA495"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s="1"/>
  <c r="BQ573" i="3"/>
  <c r="BL573" i="3" s="1"/>
  <c r="AZ573" i="3" s="1"/>
  <c r="BQ571" i="3"/>
  <c r="BL571" i="3" s="1"/>
  <c r="BQ569" i="3"/>
  <c r="BL569" i="3" s="1"/>
  <c r="BQ567" i="3"/>
  <c r="BL567" i="3"/>
  <c r="BQ565" i="3"/>
  <c r="BL565" i="3" s="1"/>
  <c r="BQ563" i="3"/>
  <c r="BL563" i="3" s="1"/>
  <c r="AZ563" i="3" s="1"/>
  <c r="BQ561" i="3"/>
  <c r="BL561" i="3" s="1"/>
  <c r="BQ559" i="3"/>
  <c r="BL559" i="3" s="1"/>
  <c r="AZ559" i="3" s="1"/>
  <c r="G559" i="3"/>
  <c r="G553" i="3"/>
  <c r="G549" i="3"/>
  <c r="G543" i="3"/>
  <c r="BQ555" i="3"/>
  <c r="BL555" i="3"/>
  <c r="BQ553" i="3"/>
  <c r="BQ551" i="3"/>
  <c r="BQ549" i="3"/>
  <c r="BQ547" i="3"/>
  <c r="BQ545" i="3"/>
  <c r="BQ543" i="3"/>
  <c r="BQ541" i="3"/>
  <c r="BQ539" i="3"/>
  <c r="BQ537" i="3"/>
  <c r="BL537" i="3"/>
  <c r="BQ535" i="3"/>
  <c r="BQ533" i="3"/>
  <c r="BQ531" i="3"/>
  <c r="BL531" i="3" s="1"/>
  <c r="AZ531" i="3" s="1"/>
  <c r="BQ529" i="3"/>
  <c r="BQ527" i="3"/>
  <c r="BQ525" i="3"/>
  <c r="BQ523" i="3"/>
  <c r="AC521" i="3"/>
  <c r="G521" i="3" s="1"/>
  <c r="BQ521" i="3"/>
  <c r="BL521" i="3"/>
  <c r="G515" i="3"/>
  <c r="G513" i="3"/>
  <c r="BQ519" i="3"/>
  <c r="BQ517" i="3"/>
  <c r="BQ515" i="3"/>
  <c r="BQ513" i="3"/>
  <c r="BQ511" i="3"/>
  <c r="AC509" i="3"/>
  <c r="BQ509" i="3"/>
  <c r="G507" i="3"/>
  <c r="G501" i="3"/>
  <c r="G499" i="3"/>
  <c r="BQ507" i="3"/>
  <c r="BQ505" i="3"/>
  <c r="BQ503" i="3"/>
  <c r="BQ501" i="3"/>
  <c r="BQ499" i="3"/>
  <c r="BL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H42" i="33"/>
  <c r="AB42" i="33" s="1"/>
  <c r="J43" i="33"/>
  <c r="AC43" i="33" s="1"/>
  <c r="S28" i="31"/>
  <c r="S27" i="31"/>
  <c r="S26" i="31"/>
  <c r="W23" i="35"/>
  <c r="U26" i="37"/>
  <c r="AA13" i="33"/>
  <c r="AC31" i="33"/>
  <c r="AC45" i="33"/>
  <c r="U11" i="33"/>
  <c r="U19" i="21"/>
  <c r="AB38" i="21"/>
  <c r="F43" i="33"/>
  <c r="AA43" i="33"/>
  <c r="W15" i="34"/>
  <c r="AC15" i="34"/>
  <c r="W16" i="35"/>
  <c r="W40" i="37"/>
  <c r="H107" i="37"/>
  <c r="I107" i="37" s="1"/>
  <c r="J107" i="37" s="1"/>
  <c r="K107" i="37" s="1"/>
  <c r="L107" i="37" s="1"/>
  <c r="M107" i="37" s="1"/>
  <c r="H37" i="21"/>
  <c r="U37" i="21" s="1"/>
  <c r="S42" i="21"/>
  <c r="H19" i="34"/>
  <c r="AB19" i="34" s="1"/>
  <c r="F36" i="35"/>
  <c r="S36" i="35" s="1"/>
  <c r="J9" i="37"/>
  <c r="W9" i="37" s="1"/>
  <c r="H9" i="37"/>
  <c r="U9" i="37" s="1"/>
  <c r="F9" i="37"/>
  <c r="S9"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c r="AT6" i="3"/>
  <c r="AA25" i="21"/>
  <c r="H19" i="40"/>
  <c r="U19" i="40" s="1"/>
  <c r="F88" i="40"/>
  <c r="G88" i="40" s="1"/>
  <c r="F19" i="40"/>
  <c r="S19" i="40" s="1"/>
  <c r="AC13" i="40"/>
  <c r="AB33" i="40"/>
  <c r="W23" i="39"/>
  <c r="AC43" i="39"/>
  <c r="W43" i="39"/>
  <c r="H37" i="39"/>
  <c r="AB37" i="39"/>
  <c r="AC37" i="39"/>
  <c r="W37" i="39"/>
  <c r="H25" i="39"/>
  <c r="AB25" i="39" s="1"/>
  <c r="J25" i="39"/>
  <c r="W25" i="39" s="1"/>
  <c r="F15" i="39"/>
  <c r="AA15" i="39" s="1"/>
  <c r="H15" i="39"/>
  <c r="U15" i="39" s="1"/>
  <c r="J15" i="39"/>
  <c r="W15" i="39" s="1"/>
  <c r="AB34" i="39"/>
  <c r="W8" i="39"/>
  <c r="J19" i="40"/>
  <c r="AC19" i="40" s="1"/>
  <c r="J50" i="40"/>
  <c r="H103" i="9"/>
  <c r="D8" i="53" s="1"/>
  <c r="B16" i="53"/>
  <c r="B33" i="72" s="1"/>
  <c r="C7" i="37"/>
  <c r="C52" i="37" s="1"/>
  <c r="D52" i="37" s="1"/>
  <c r="C7" i="36"/>
  <c r="C46" i="36" s="1"/>
  <c r="D46" i="36" s="1"/>
  <c r="E46" i="36" s="1"/>
  <c r="F46" i="36" s="1"/>
  <c r="G46" i="36" s="1"/>
  <c r="H46" i="36" s="1"/>
  <c r="I46" i="36" s="1"/>
  <c r="A118" i="9"/>
  <c r="A4" i="52"/>
  <c r="B41" i="72" s="1"/>
  <c r="G4" i="4"/>
  <c r="I4" i="4"/>
  <c r="A2" i="9"/>
  <c r="F61" i="43"/>
  <c r="H64" i="43" s="1"/>
  <c r="BL549"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AZ373" i="3" s="1"/>
  <c r="BA375" i="3"/>
  <c r="AZ375" i="3" s="1"/>
  <c r="BA376" i="3"/>
  <c r="AZ376" i="3" s="1"/>
  <c r="BL376" i="3"/>
  <c r="G377" i="3"/>
  <c r="BA378" i="3"/>
  <c r="AZ378" i="3" s="1"/>
  <c r="BL378" i="3"/>
  <c r="G379" i="3"/>
  <c r="BA380" i="3"/>
  <c r="AZ380" i="3" s="1"/>
  <c r="G388" i="3"/>
  <c r="BL389" i="3"/>
  <c r="G390" i="3"/>
  <c r="BL391" i="3"/>
  <c r="BA393" i="3"/>
  <c r="BA394" i="3"/>
  <c r="BL394" i="3"/>
  <c r="G113" i="3"/>
  <c r="BA115" i="3"/>
  <c r="BL116" i="3"/>
  <c r="G117" i="3"/>
  <c r="BA119" i="3"/>
  <c r="BL120" i="3"/>
  <c r="G121" i="3"/>
  <c r="BA123" i="3"/>
  <c r="BL124" i="3"/>
  <c r="G125" i="3"/>
  <c r="BA127" i="3"/>
  <c r="AZ127" i="3" s="1"/>
  <c r="BL128" i="3"/>
  <c r="G129" i="3"/>
  <c r="BA131" i="3"/>
  <c r="BL132" i="3"/>
  <c r="G133" i="3"/>
  <c r="BA135" i="3"/>
  <c r="BL136" i="3"/>
  <c r="G137" i="3"/>
  <c r="BA139" i="3"/>
  <c r="AZ139" i="3" s="1"/>
  <c r="BL140" i="3"/>
  <c r="G141" i="3"/>
  <c r="BA143" i="3"/>
  <c r="BL144" i="3"/>
  <c r="G145" i="3"/>
  <c r="BA147" i="3"/>
  <c r="BL148" i="3"/>
  <c r="AZ148" i="3"/>
  <c r="G149" i="3"/>
  <c r="BA151" i="3"/>
  <c r="BL152" i="3"/>
  <c r="G153" i="3"/>
  <c r="BA155" i="3"/>
  <c r="BL156" i="3"/>
  <c r="G157" i="3"/>
  <c r="BA159" i="3"/>
  <c r="AZ159" i="3"/>
  <c r="BL160" i="3"/>
  <c r="G161" i="3"/>
  <c r="BA163" i="3"/>
  <c r="AZ163" i="3"/>
  <c r="BL164" i="3"/>
  <c r="G165" i="3"/>
  <c r="BA167" i="3"/>
  <c r="BL168" i="3"/>
  <c r="G169" i="3"/>
  <c r="BA171" i="3"/>
  <c r="AZ171" i="3"/>
  <c r="BL172" i="3"/>
  <c r="G173" i="3"/>
  <c r="BA175" i="3"/>
  <c r="AZ175" i="3"/>
  <c r="BL176" i="3"/>
  <c r="G177" i="3"/>
  <c r="BA179" i="3"/>
  <c r="BL180" i="3"/>
  <c r="G181" i="3"/>
  <c r="BA183" i="3"/>
  <c r="BL184" i="3"/>
  <c r="G185" i="3"/>
  <c r="BA187" i="3"/>
  <c r="AZ187" i="3" s="1"/>
  <c r="BL188" i="3"/>
  <c r="AZ188" i="3" s="1"/>
  <c r="G189" i="3"/>
  <c r="BA191" i="3"/>
  <c r="BL192" i="3"/>
  <c r="AZ192" i="3" s="1"/>
  <c r="G193" i="3"/>
  <c r="BA195" i="3"/>
  <c r="AZ195" i="3" s="1"/>
  <c r="BL196" i="3"/>
  <c r="G197" i="3"/>
  <c r="BA199" i="3"/>
  <c r="AZ199" i="3" s="1"/>
  <c r="BL200" i="3"/>
  <c r="AZ200" i="3" s="1"/>
  <c r="G201" i="3"/>
  <c r="BA203" i="3"/>
  <c r="BL204" i="3"/>
  <c r="AZ55" i="3"/>
  <c r="AZ144" i="3"/>
  <c r="AZ168" i="3"/>
  <c r="AZ184" i="3"/>
  <c r="AZ97" i="3"/>
  <c r="AZ120" i="3"/>
  <c r="G534" i="3"/>
  <c r="G512" i="3"/>
  <c r="G506" i="3"/>
  <c r="G498" i="3"/>
  <c r="G15" i="3"/>
  <c r="BA304" i="3"/>
  <c r="BA305" i="3"/>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s="1"/>
  <c r="BA356" i="3"/>
  <c r="BL356" i="3"/>
  <c r="G357" i="3"/>
  <c r="G360" i="3"/>
  <c r="BL361" i="3"/>
  <c r="BA363" i="3"/>
  <c r="BA364" i="3"/>
  <c r="AZ364" i="3" s="1"/>
  <c r="BL364" i="3"/>
  <c r="G365" i="3"/>
  <c r="G368" i="3"/>
  <c r="BL369" i="3"/>
  <c r="AZ369" i="3" s="1"/>
  <c r="BA371" i="3"/>
  <c r="AZ371" i="3" s="1"/>
  <c r="BA372" i="3"/>
  <c r="BL372" i="3"/>
  <c r="G373" i="3"/>
  <c r="G376" i="3"/>
  <c r="BL377" i="3"/>
  <c r="BL379" i="3"/>
  <c r="BA381" i="3"/>
  <c r="AZ381" i="3" s="1"/>
  <c r="BA382" i="3"/>
  <c r="BL382" i="3"/>
  <c r="G383" i="3"/>
  <c r="G386" i="3"/>
  <c r="BL387" i="3"/>
  <c r="BA389" i="3"/>
  <c r="AZ389" i="3" s="1"/>
  <c r="BA390" i="3"/>
  <c r="BL390" i="3"/>
  <c r="G391" i="3"/>
  <c r="G394" i="3"/>
  <c r="BA16" i="3"/>
  <c r="BL303" i="3"/>
  <c r="G304" i="3"/>
  <c r="BA306" i="3"/>
  <c r="BL307" i="3"/>
  <c r="G308" i="3"/>
  <c r="BA310" i="3"/>
  <c r="AZ310" i="3"/>
  <c r="BL311" i="3"/>
  <c r="AZ311" i="3" s="1"/>
  <c r="G312" i="3"/>
  <c r="BA314" i="3"/>
  <c r="BL315" i="3"/>
  <c r="G316" i="3"/>
  <c r="BA318" i="3"/>
  <c r="BL319" i="3"/>
  <c r="AZ319" i="3" s="1"/>
  <c r="G320" i="3"/>
  <c r="BA322" i="3"/>
  <c r="BL323" i="3"/>
  <c r="G324" i="3"/>
  <c r="BA326" i="3"/>
  <c r="AZ326" i="3" s="1"/>
  <c r="BL327" i="3"/>
  <c r="AZ327" i="3"/>
  <c r="G328" i="3"/>
  <c r="BA330" i="3"/>
  <c r="BL331" i="3"/>
  <c r="AZ331" i="3" s="1"/>
  <c r="G332" i="3"/>
  <c r="BA334" i="3"/>
  <c r="AZ334" i="3" s="1"/>
  <c r="BL335" i="3"/>
  <c r="G336" i="3"/>
  <c r="BA338" i="3"/>
  <c r="AZ338" i="3" s="1"/>
  <c r="BL339" i="3"/>
  <c r="AZ339" i="3" s="1"/>
  <c r="G340" i="3"/>
  <c r="BL343" i="3"/>
  <c r="G344" i="3"/>
  <c r="G348" i="3"/>
  <c r="G355" i="3"/>
  <c r="AZ335" i="3"/>
  <c r="G342" i="3"/>
  <c r="BL345" i="3"/>
  <c r="AZ345" i="3" s="1"/>
  <c r="G346" i="3"/>
  <c r="BL349" i="3"/>
  <c r="BL352" i="3"/>
  <c r="G353" i="3"/>
  <c r="BA357" i="3"/>
  <c r="AZ357" i="3" s="1"/>
  <c r="BL358" i="3"/>
  <c r="G359" i="3"/>
  <c r="BA361" i="3"/>
  <c r="AZ361" i="3"/>
  <c r="BL362" i="3"/>
  <c r="AZ362" i="3" s="1"/>
  <c r="G363" i="3"/>
  <c r="BA365" i="3"/>
  <c r="BL366" i="3"/>
  <c r="AZ366" i="3" s="1"/>
  <c r="G367" i="3"/>
  <c r="BA369" i="3"/>
  <c r="BL370" i="3"/>
  <c r="G371" i="3"/>
  <c r="BA373" i="3"/>
  <c r="BL374" i="3"/>
  <c r="G375" i="3"/>
  <c r="BA377" i="3"/>
  <c r="AZ377" i="3"/>
  <c r="AZ241" i="3"/>
  <c r="BA379" i="3"/>
  <c r="BL380" i="3"/>
  <c r="G381" i="3"/>
  <c r="BA383" i="3"/>
  <c r="AZ383" i="3" s="1"/>
  <c r="BL384" i="3"/>
  <c r="G385" i="3"/>
  <c r="BA387" i="3"/>
  <c r="AZ387" i="3" s="1"/>
  <c r="BL388" i="3"/>
  <c r="G389" i="3"/>
  <c r="BA391" i="3"/>
  <c r="BL392" i="3"/>
  <c r="AZ392" i="3" s="1"/>
  <c r="G393" i="3"/>
  <c r="AZ291" i="3"/>
  <c r="BJ5" i="3"/>
  <c r="BH5" i="3"/>
  <c r="AZ325" i="3"/>
  <c r="G548" i="3"/>
  <c r="G520" i="3"/>
  <c r="G502" i="3"/>
  <c r="BS5" i="3"/>
  <c r="BK5" i="3"/>
  <c r="BI5" i="3"/>
  <c r="BC5" i="3"/>
  <c r="G17" i="3"/>
  <c r="BA17" i="3"/>
  <c r="AZ350" i="3"/>
  <c r="AZ356" i="3"/>
  <c r="BA15" i="3"/>
  <c r="BR5" i="3"/>
  <c r="U36" i="40"/>
  <c r="F83" i="43"/>
  <c r="H85" i="43" s="1"/>
  <c r="F50" i="43"/>
  <c r="H54" i="43" s="1"/>
  <c r="F72" i="43"/>
  <c r="H75" i="43" s="1"/>
  <c r="U17" i="39"/>
  <c r="S14" i="35"/>
  <c r="U43" i="21"/>
  <c r="U35" i="21"/>
  <c r="AC35" i="21"/>
  <c r="G10" i="1"/>
  <c r="W37" i="37"/>
  <c r="W44" i="34"/>
  <c r="AC44" i="34"/>
  <c r="S15" i="37"/>
  <c r="U13" i="37"/>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AZ256" i="3"/>
  <c r="AZ130" i="3"/>
  <c r="AZ69" i="3"/>
  <c r="AZ74" i="3"/>
  <c r="F23" i="39"/>
  <c r="S23" i="39" s="1"/>
  <c r="H27" i="36"/>
  <c r="U27" i="36" s="1"/>
  <c r="F27" i="36"/>
  <c r="AA27" i="36" s="1"/>
  <c r="H33" i="34"/>
  <c r="U33" i="34"/>
  <c r="F32" i="37"/>
  <c r="AA32" i="37" s="1"/>
  <c r="F20" i="36"/>
  <c r="AA20" i="36" s="1"/>
  <c r="J33" i="34"/>
  <c r="AC33" i="34" s="1"/>
  <c r="H23" i="39"/>
  <c r="U23" i="39" s="1"/>
  <c r="K9" i="1"/>
  <c r="M9" i="1" s="1"/>
  <c r="D93" i="9"/>
  <c r="W27" i="34"/>
  <c r="AC27" i="34"/>
  <c r="AZ465" i="3"/>
  <c r="W12" i="33"/>
  <c r="AC12" i="33"/>
  <c r="AA32" i="36"/>
  <c r="S32" i="36"/>
  <c r="BL14" i="3"/>
  <c r="U30" i="33"/>
  <c r="W28" i="37"/>
  <c r="F12" i="33"/>
  <c r="S12" i="33" s="1"/>
  <c r="F39" i="40"/>
  <c r="AA39" i="40" s="1"/>
  <c r="BA14" i="3"/>
  <c r="AZ254" i="3"/>
  <c r="AZ297" i="3"/>
  <c r="AZ189" i="3"/>
  <c r="B12" i="1"/>
  <c r="E12" i="1" s="1"/>
  <c r="B10" i="1"/>
  <c r="E10" i="1" s="1"/>
  <c r="K12" i="1"/>
  <c r="M12" i="1" s="1"/>
  <c r="S13" i="1"/>
  <c r="AR13" i="1" s="1"/>
  <c r="R13" i="1"/>
  <c r="J51" i="67"/>
  <c r="C42" i="1"/>
  <c r="C24" i="12" s="1"/>
  <c r="AA34" i="33"/>
  <c r="B41" i="1"/>
  <c r="F48" i="9" s="1"/>
  <c r="O52" i="9" s="1"/>
  <c r="AB37" i="40"/>
  <c r="S35" i="40"/>
  <c r="U35" i="40"/>
  <c r="AC36" i="40"/>
  <c r="AA32" i="40"/>
  <c r="S17" i="40"/>
  <c r="S23" i="40"/>
  <c r="AC17" i="40"/>
  <c r="AC15" i="40"/>
  <c r="AB27" i="40"/>
  <c r="S30" i="40"/>
  <c r="S28" i="40"/>
  <c r="AA27" i="40"/>
  <c r="U21" i="40"/>
  <c r="AB19" i="40"/>
  <c r="U37" i="39"/>
  <c r="S43" i="39"/>
  <c r="S37" i="39"/>
  <c r="U35" i="39"/>
  <c r="F32" i="39"/>
  <c r="AA32" i="39" s="1"/>
  <c r="F106" i="39"/>
  <c r="G106" i="39" s="1"/>
  <c r="H106" i="39" s="1"/>
  <c r="I106" i="39" s="1"/>
  <c r="J106" i="39" s="1"/>
  <c r="K106" i="39" s="1"/>
  <c r="L106" i="39" s="1"/>
  <c r="M106" i="39" s="1"/>
  <c r="J21" i="39"/>
  <c r="W21" i="39" s="1"/>
  <c r="F21" i="39"/>
  <c r="AA21" i="39" s="1"/>
  <c r="H21" i="39"/>
  <c r="U21" i="39" s="1"/>
  <c r="S17" i="39"/>
  <c r="S15" i="39"/>
  <c r="AC13" i="39"/>
  <c r="S23" i="36"/>
  <c r="U26" i="36"/>
  <c r="AA26" i="36"/>
  <c r="AA34" i="36"/>
  <c r="AC26" i="36"/>
  <c r="AA22" i="36"/>
  <c r="W14" i="36"/>
  <c r="AB14" i="36"/>
  <c r="U22" i="36"/>
  <c r="S16" i="36"/>
  <c r="S24" i="36"/>
  <c r="U24" i="36"/>
  <c r="U23" i="36"/>
  <c r="S14" i="36"/>
  <c r="AA25" i="35"/>
  <c r="S23" i="35"/>
  <c r="W24" i="35"/>
  <c r="AB13" i="35"/>
  <c r="U29" i="35"/>
  <c r="U28" i="35"/>
  <c r="AB27" i="35"/>
  <c r="U32" i="35"/>
  <c r="AA33" i="35"/>
  <c r="AC30" i="35"/>
  <c r="S32" i="35"/>
  <c r="AA36" i="35"/>
  <c r="S28" i="35"/>
  <c r="AB16" i="35"/>
  <c r="U22" i="35"/>
  <c r="S20" i="35"/>
  <c r="U14" i="35"/>
  <c r="AA11" i="35"/>
  <c r="AC9" i="35"/>
  <c r="W9" i="35"/>
  <c r="W13" i="35"/>
  <c r="F9" i="35"/>
  <c r="S9" i="35" s="1"/>
  <c r="H9" i="35"/>
  <c r="U9" i="35" s="1"/>
  <c r="AB40" i="37"/>
  <c r="W27" i="37"/>
  <c r="AC29" i="37"/>
  <c r="U29" i="37"/>
  <c r="S32" i="37"/>
  <c r="AB31" i="37"/>
  <c r="W30" i="37"/>
  <c r="S36" i="37"/>
  <c r="AC35"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A45" i="34"/>
  <c r="AA25" i="34"/>
  <c r="U28" i="34"/>
  <c r="S17" i="34"/>
  <c r="AA29" i="34"/>
  <c r="U27" i="34"/>
  <c r="S23" i="34"/>
  <c r="S13" i="34"/>
  <c r="H10" i="34"/>
  <c r="AB10" i="34" s="1"/>
  <c r="F11" i="34"/>
  <c r="S11" i="34" s="1"/>
  <c r="W42" i="33"/>
  <c r="AA35" i="33"/>
  <c r="S27" i="33"/>
  <c r="S32" i="33"/>
  <c r="AA29" i="33"/>
  <c r="AB29"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S43" i="33"/>
  <c r="F91" i="33"/>
  <c r="G91" i="33" s="1"/>
  <c r="H91" i="33" s="1"/>
  <c r="I91" i="33" s="1"/>
  <c r="J91" i="33" s="1"/>
  <c r="K91" i="33" s="1"/>
  <c r="L91" i="33" s="1"/>
  <c r="M91" i="33" s="1"/>
  <c r="H27" i="33"/>
  <c r="AB27" i="33" s="1"/>
  <c r="F87" i="33"/>
  <c r="H25" i="33"/>
  <c r="F25" i="33"/>
  <c r="S25" i="33" s="1"/>
  <c r="J23" i="33"/>
  <c r="AC23" i="33" s="1"/>
  <c r="F85" i="33"/>
  <c r="H23" i="33"/>
  <c r="F81" i="33"/>
  <c r="G81" i="33" s="1"/>
  <c r="F19" i="33"/>
  <c r="S19" i="33" s="1"/>
  <c r="W19" i="33"/>
  <c r="J17" i="33"/>
  <c r="AC17" i="33" s="1"/>
  <c r="F79" i="33"/>
  <c r="G79" i="33" s="1"/>
  <c r="S15" i="33"/>
  <c r="U9" i="33"/>
  <c r="J10" i="33"/>
  <c r="W10" i="33" s="1"/>
  <c r="H10" i="33"/>
  <c r="U10" i="33" s="1"/>
  <c r="AC11" i="33"/>
  <c r="AB14" i="33"/>
  <c r="W43" i="21"/>
  <c r="W36" i="21"/>
  <c r="AB39" i="21"/>
  <c r="AA43" i="21"/>
  <c r="S39" i="21"/>
  <c r="AA38" i="21"/>
  <c r="AC40" i="21"/>
  <c r="J15" i="21"/>
  <c r="W15" i="21" s="1"/>
  <c r="F77" i="21"/>
  <c r="G77" i="21"/>
  <c r="F23" i="21"/>
  <c r="S23" i="21" s="1"/>
  <c r="E85" i="21"/>
  <c r="AA14" i="21"/>
  <c r="D120" i="9"/>
  <c r="D121" i="9" s="1"/>
  <c r="D7" i="52" s="1"/>
  <c r="F34" i="67"/>
  <c r="F62" i="67" s="1"/>
  <c r="M20" i="67"/>
  <c r="F34" i="15"/>
  <c r="F62" i="15" s="1"/>
  <c r="G13" i="3"/>
  <c r="BL17" i="3"/>
  <c r="AZ17" i="3" s="1"/>
  <c r="BL13" i="3"/>
  <c r="J56" i="9"/>
  <c r="J57" i="9" s="1"/>
  <c r="J59" i="9" s="1"/>
  <c r="J61" i="9" s="1"/>
  <c r="A24" i="51"/>
  <c r="B18" i="72" s="1"/>
  <c r="U29" i="34"/>
  <c r="E32" i="6"/>
  <c r="G1" i="68"/>
  <c r="K1" i="12"/>
  <c r="E19" i="11"/>
  <c r="G26" i="12"/>
  <c r="C6" i="43"/>
  <c r="B19" i="53"/>
  <c r="B37" i="72" s="1"/>
  <c r="C7" i="35"/>
  <c r="C7" i="21"/>
  <c r="M47" i="9"/>
  <c r="C48" i="35"/>
  <c r="D48" i="35" s="1"/>
  <c r="L20" i="6"/>
  <c r="B6" i="1"/>
  <c r="E6" i="1" s="1"/>
  <c r="K11" i="1"/>
  <c r="M11" i="1" s="1"/>
  <c r="O11" i="1" s="1"/>
  <c r="B9" i="1"/>
  <c r="E9" i="1" s="1"/>
  <c r="K7" i="1"/>
  <c r="M7" i="1" s="1"/>
  <c r="O7" i="1" s="1"/>
  <c r="P7" i="1" s="1"/>
  <c r="G1" i="15"/>
  <c r="G1" i="69"/>
  <c r="G1" i="67"/>
  <c r="W23" i="40"/>
  <c r="U32" i="40"/>
  <c r="AB31" i="40"/>
  <c r="S37" i="40"/>
  <c r="AB28" i="40"/>
  <c r="W34" i="40"/>
  <c r="W19" i="40"/>
  <c r="W27" i="40"/>
  <c r="S36" i="40"/>
  <c r="W37" i="40"/>
  <c r="AC14" i="40"/>
  <c r="S13" i="40"/>
  <c r="S33" i="40"/>
  <c r="AA15" i="40"/>
  <c r="U11" i="40"/>
  <c r="S31" i="40"/>
  <c r="AB17" i="40"/>
  <c r="U8" i="40"/>
  <c r="S8" i="40"/>
  <c r="U13" i="39"/>
  <c r="AB13" i="39"/>
  <c r="AA13" i="39"/>
  <c r="S13" i="39"/>
  <c r="S14" i="39"/>
  <c r="AA14" i="39"/>
  <c r="U43" i="39"/>
  <c r="AB43" i="39"/>
  <c r="W17" i="39"/>
  <c r="AC17" i="39"/>
  <c r="AB39" i="39"/>
  <c r="W34" i="39"/>
  <c r="S8" i="39"/>
  <c r="AC25" i="36"/>
  <c r="U32" i="36"/>
  <c r="W29" i="36"/>
  <c r="AC20" i="36"/>
  <c r="U25" i="36"/>
  <c r="AB28" i="36"/>
  <c r="AA13" i="36"/>
  <c r="W9" i="36"/>
  <c r="W22" i="36"/>
  <c r="W23" i="36"/>
  <c r="AC25" i="35"/>
  <c r="U25" i="35"/>
  <c r="S24" i="35"/>
  <c r="U24" i="35"/>
  <c r="S35" i="35"/>
  <c r="W35" i="35"/>
  <c r="AA16" i="35"/>
  <c r="AA35" i="37"/>
  <c r="S27" i="37"/>
  <c r="S28" i="37"/>
  <c r="W32" i="37"/>
  <c r="U36" i="37"/>
  <c r="S40" i="37"/>
  <c r="AB37" i="37"/>
  <c r="AC34" i="37"/>
  <c r="AB35" i="37"/>
  <c r="AA31" i="37"/>
  <c r="U19" i="37"/>
  <c r="U8" i="37"/>
  <c r="AA40" i="34"/>
  <c r="U19" i="34"/>
  <c r="W19" i="34"/>
  <c r="AB33" i="34"/>
  <c r="AC45" i="34"/>
  <c r="AA30" i="34"/>
  <c r="AB45" i="34"/>
  <c r="U25" i="34"/>
  <c r="AB36" i="34"/>
  <c r="W33"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W46" i="33"/>
  <c r="U39" i="33"/>
  <c r="U38" i="33"/>
  <c r="U44" i="33"/>
  <c r="S30" i="33"/>
  <c r="AA30" i="33"/>
  <c r="AC30" i="33"/>
  <c r="W30" i="33"/>
  <c r="S31" i="33"/>
  <c r="AA31" i="33"/>
  <c r="W13" i="33"/>
  <c r="AC13" i="33"/>
  <c r="U15" i="33"/>
  <c r="S11" i="33"/>
  <c r="U37" i="33"/>
  <c r="AC28" i="33"/>
  <c r="S28" i="33"/>
  <c r="W9" i="33"/>
  <c r="W8" i="33"/>
  <c r="S44" i="21"/>
  <c r="AB42" i="21"/>
  <c r="I101" i="21"/>
  <c r="J101" i="21" s="1"/>
  <c r="K101" i="21" s="1"/>
  <c r="L101" i="21" s="1"/>
  <c r="M101" i="21" s="1"/>
  <c r="F33" i="21"/>
  <c r="AA33" i="21" s="1"/>
  <c r="J33" i="21"/>
  <c r="AC33" i="21" s="1"/>
  <c r="H33" i="21"/>
  <c r="AB33" i="21" s="1"/>
  <c r="F37" i="21"/>
  <c r="AA37" i="21" s="1"/>
  <c r="AA26" i="21"/>
  <c r="AB14" i="21"/>
  <c r="U40" i="21"/>
  <c r="S35" i="21"/>
  <c r="J37" i="21"/>
  <c r="W37" i="21" s="1"/>
  <c r="H15" i="21"/>
  <c r="U15" i="21"/>
  <c r="J17" i="21"/>
  <c r="AC17" i="21"/>
  <c r="AC19" i="21"/>
  <c r="W39" i="21"/>
  <c r="AC14" i="21"/>
  <c r="W30" i="21"/>
  <c r="H45" i="21"/>
  <c r="U45" i="21" s="1"/>
  <c r="F29" i="21"/>
  <c r="AA29" i="21" s="1"/>
  <c r="AC38" i="21"/>
  <c r="H32" i="21"/>
  <c r="U32" i="21" s="1"/>
  <c r="H9" i="21"/>
  <c r="J9" i="21"/>
  <c r="AC9" i="21" s="1"/>
  <c r="J32" i="21"/>
  <c r="W32" i="21" s="1"/>
  <c r="F32" i="21"/>
  <c r="S32" i="21" s="1"/>
  <c r="W29" i="21"/>
  <c r="S19" i="21"/>
  <c r="S9" i="21"/>
  <c r="AA9" i="21"/>
  <c r="K141" i="21"/>
  <c r="K144" i="21"/>
  <c r="K143" i="21"/>
  <c r="AB25" i="21"/>
  <c r="AB44" i="21"/>
  <c r="AA30" i="21"/>
  <c r="W42" i="21"/>
  <c r="AC45" i="21"/>
  <c r="F10" i="21"/>
  <c r="AA10" i="21" s="1"/>
  <c r="K145" i="21"/>
  <c r="W17" i="21"/>
  <c r="W25" i="21"/>
  <c r="S17" i="21"/>
  <c r="AA15"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F32" i="67"/>
  <c r="F60" i="67" s="1"/>
  <c r="AA12" i="33"/>
  <c r="J32" i="39"/>
  <c r="W32" i="39" s="1"/>
  <c r="AC17" i="37"/>
  <c r="J19" i="37"/>
  <c r="W19" i="37" s="1"/>
  <c r="G75" i="37"/>
  <c r="AA19" i="37"/>
  <c r="J23" i="37"/>
  <c r="AC23" i="37" s="1"/>
  <c r="G79" i="37"/>
  <c r="J10" i="37"/>
  <c r="W10" i="37" s="1"/>
  <c r="H11" i="37"/>
  <c r="AB11" i="37" s="1"/>
  <c r="H11" i="34"/>
  <c r="U11" i="34" s="1"/>
  <c r="J10" i="34"/>
  <c r="AC10" i="34" s="1"/>
  <c r="AB41" i="33"/>
  <c r="U41" i="33"/>
  <c r="W35" i="33"/>
  <c r="AC35" i="33"/>
  <c r="J36" i="33"/>
  <c r="W36" i="33" s="1"/>
  <c r="H36" i="33"/>
  <c r="U36" i="33" s="1"/>
  <c r="W32" i="33"/>
  <c r="U27" i="33"/>
  <c r="J27" i="33"/>
  <c r="AC27" i="33" s="1"/>
  <c r="U25" i="33"/>
  <c r="AB25" i="33"/>
  <c r="G87" i="33"/>
  <c r="H87" i="33"/>
  <c r="I87" i="33" s="1"/>
  <c r="J87" i="33" s="1"/>
  <c r="K87" i="33" s="1"/>
  <c r="L87" i="33" s="1"/>
  <c r="M87" i="33" s="1"/>
  <c r="J25" i="33"/>
  <c r="AB23" i="33"/>
  <c r="U23" i="33"/>
  <c r="F23" i="33"/>
  <c r="G85" i="33"/>
  <c r="H19" i="33"/>
  <c r="U19" i="33" s="1"/>
  <c r="H17" i="33"/>
  <c r="U17" i="33" s="1"/>
  <c r="F17" i="33"/>
  <c r="S17" i="33" s="1"/>
  <c r="W17" i="33"/>
  <c r="AB15" i="21"/>
  <c r="J23" i="21"/>
  <c r="F85" i="21"/>
  <c r="G85" i="21" s="1"/>
  <c r="H23" i="21"/>
  <c r="U23" i="21" s="1"/>
  <c r="AP7" i="1"/>
  <c r="AB9" i="21"/>
  <c r="U9" i="21"/>
  <c r="W9" i="21"/>
  <c r="W23" i="37"/>
  <c r="J11" i="37"/>
  <c r="AC11" i="37" s="1"/>
  <c r="J11" i="34"/>
  <c r="W11" i="34" s="1"/>
  <c r="W27" i="33"/>
  <c r="W25" i="33"/>
  <c r="AC25" i="33"/>
  <c r="AB23" i="21"/>
  <c r="AC23" i="21"/>
  <c r="W23" i="21"/>
  <c r="H109" i="9"/>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11" i="76"/>
  <c r="F6" i="73"/>
  <c r="F38" i="15"/>
  <c r="F6" i="15"/>
  <c r="F20" i="31"/>
  <c r="J15" i="67"/>
  <c r="F7" i="73"/>
  <c r="F38" i="67"/>
  <c r="M26" i="15"/>
  <c r="F8" i="15"/>
  <c r="E2" i="68"/>
  <c r="F4" i="73"/>
  <c r="L47" i="15"/>
  <c r="F5" i="73"/>
  <c r="E10" i="76"/>
  <c r="F37" i="67"/>
  <c r="F13" i="15"/>
  <c r="F37" i="15"/>
  <c r="F8" i="67"/>
  <c r="M6" i="15"/>
  <c r="F36" i="15"/>
  <c r="F43" i="67"/>
  <c r="B7" i="76"/>
  <c r="M22" i="15"/>
  <c r="M23" i="15"/>
  <c r="B10" i="76"/>
  <c r="M9" i="67"/>
  <c r="E11" i="76"/>
  <c r="F3" i="73"/>
  <c r="M24" i="15"/>
  <c r="F16" i="15"/>
  <c r="J15" i="15"/>
  <c r="F6" i="67"/>
  <c r="F42" i="15"/>
  <c r="B12" i="76"/>
  <c r="F40" i="15"/>
  <c r="E2" i="69"/>
  <c r="E13" i="76"/>
  <c r="E8" i="76"/>
  <c r="M24" i="67"/>
  <c r="B8" i="76"/>
  <c r="L48" i="15"/>
  <c r="M6" i="67"/>
  <c r="C76" i="15"/>
  <c r="F26" i="15"/>
  <c r="AO13" i="1"/>
  <c r="F40" i="67"/>
  <c r="M28" i="15"/>
  <c r="C76" i="67"/>
  <c r="B13" i="76"/>
  <c r="E12" i="76"/>
  <c r="M23" i="67"/>
  <c r="F9" i="15"/>
  <c r="E9" i="76"/>
  <c r="B9" i="76"/>
  <c r="M9" i="15"/>
  <c r="E7" i="76"/>
  <c r="M8" i="15"/>
  <c r="F28" i="15" l="1"/>
  <c r="E5" i="6"/>
  <c r="BB5" i="3"/>
  <c r="AZ541" i="3"/>
  <c r="AZ528" i="3"/>
  <c r="AZ522" i="3"/>
  <c r="AZ508" i="3"/>
  <c r="W12" i="37"/>
  <c r="AC12" i="37"/>
  <c r="AZ191" i="3"/>
  <c r="AB13" i="21"/>
  <c r="U13" i="21"/>
  <c r="G29" i="6"/>
  <c r="E29" i="6" s="1"/>
  <c r="K15" i="1" s="1"/>
  <c r="AA19" i="33"/>
  <c r="AB34" i="33"/>
  <c r="AZ307" i="3"/>
  <c r="AZ549" i="3"/>
  <c r="B72" i="43"/>
  <c r="C15" i="39"/>
  <c r="BA555" i="3"/>
  <c r="BA537" i="3"/>
  <c r="AZ537" i="3" s="1"/>
  <c r="BL517" i="3"/>
  <c r="BA517" i="3"/>
  <c r="BL510" i="3"/>
  <c r="BA507" i="3"/>
  <c r="BA506" i="3"/>
  <c r="AZ506" i="3" s="1"/>
  <c r="BA500" i="3"/>
  <c r="AZ500" i="3" s="1"/>
  <c r="BA499" i="3"/>
  <c r="AZ499" i="3" s="1"/>
  <c r="BL498" i="3"/>
  <c r="BA498" i="3"/>
  <c r="AZ498" i="3" s="1"/>
  <c r="BL497" i="3"/>
  <c r="AZ497" i="3" s="1"/>
  <c r="AB19" i="33"/>
  <c r="AA23" i="21"/>
  <c r="M18" i="15"/>
  <c r="M18" i="67"/>
  <c r="F30" i="11"/>
  <c r="C48" i="11" s="1"/>
  <c r="AZ542" i="3"/>
  <c r="H26" i="33"/>
  <c r="J26" i="33"/>
  <c r="F26" i="33"/>
  <c r="BA553" i="3"/>
  <c r="AZ553" i="3" s="1"/>
  <c r="BA551" i="3"/>
  <c r="AZ551" i="3" s="1"/>
  <c r="BA545" i="3"/>
  <c r="BA544" i="3"/>
  <c r="AZ544" i="3" s="1"/>
  <c r="BA536" i="3"/>
  <c r="BA535" i="3"/>
  <c r="BL534" i="3"/>
  <c r="AZ534" i="3" s="1"/>
  <c r="BL533" i="3"/>
  <c r="AZ533" i="3" s="1"/>
  <c r="BA529" i="3"/>
  <c r="AZ529" i="3" s="1"/>
  <c r="BA527" i="3"/>
  <c r="BA526" i="3"/>
  <c r="AZ526" i="3" s="1"/>
  <c r="BL525" i="3"/>
  <c r="AZ525" i="3" s="1"/>
  <c r="BA516" i="3"/>
  <c r="AZ516" i="3" s="1"/>
  <c r="BL509" i="3"/>
  <c r="AZ509" i="3" s="1"/>
  <c r="AZ505" i="3"/>
  <c r="BA501" i="3"/>
  <c r="BA494" i="3"/>
  <c r="AZ494" i="3" s="1"/>
  <c r="AA17" i="33"/>
  <c r="AB32" i="21"/>
  <c r="AA32" i="21"/>
  <c r="S37" i="21"/>
  <c r="AA25" i="33"/>
  <c r="F13" i="21"/>
  <c r="AC15" i="21"/>
  <c r="AB46" i="21"/>
  <c r="S45" i="21"/>
  <c r="S33" i="33"/>
  <c r="AC37" i="33"/>
  <c r="U9" i="34"/>
  <c r="AA31" i="34"/>
  <c r="AA29" i="37"/>
  <c r="W36" i="37"/>
  <c r="S20" i="36"/>
  <c r="AA39" i="39"/>
  <c r="U15" i="40"/>
  <c r="W38" i="37"/>
  <c r="S22" i="35"/>
  <c r="U16" i="36"/>
  <c r="U13" i="36"/>
  <c r="U14" i="39"/>
  <c r="AC34" i="33"/>
  <c r="W12" i="39"/>
  <c r="U34" i="36"/>
  <c r="U12" i="40"/>
  <c r="BL493" i="3"/>
  <c r="AZ391" i="3"/>
  <c r="AZ318" i="3"/>
  <c r="AZ342" i="3"/>
  <c r="AZ337" i="3"/>
  <c r="AZ135" i="3"/>
  <c r="F12" i="37"/>
  <c r="S12" i="37" s="1"/>
  <c r="W44" i="33"/>
  <c r="AC36" i="34"/>
  <c r="AZ561" i="3"/>
  <c r="AB30" i="21"/>
  <c r="AB14" i="40"/>
  <c r="U14" i="40"/>
  <c r="U34" i="21"/>
  <c r="F27" i="21"/>
  <c r="J27" i="21"/>
  <c r="H27" i="21"/>
  <c r="H31" i="21"/>
  <c r="F31" i="21"/>
  <c r="J31" i="21"/>
  <c r="J46" i="21"/>
  <c r="F46" i="21"/>
  <c r="J14" i="33"/>
  <c r="F14" i="33"/>
  <c r="H31" i="34"/>
  <c r="J31" i="34"/>
  <c r="H47" i="34"/>
  <c r="F47" i="34"/>
  <c r="F38" i="37"/>
  <c r="H38" i="37"/>
  <c r="F38" i="40"/>
  <c r="H38" i="40"/>
  <c r="J38" i="40"/>
  <c r="W41" i="33"/>
  <c r="AC41" i="33"/>
  <c r="AB36" i="33"/>
  <c r="AB45" i="21"/>
  <c r="AZ374" i="3"/>
  <c r="AZ513" i="3"/>
  <c r="AZ520" i="3"/>
  <c r="AZ584" i="3"/>
  <c r="AZ502" i="3"/>
  <c r="BL554" i="3"/>
  <c r="AZ554" i="3" s="1"/>
  <c r="BA552" i="3"/>
  <c r="AZ552" i="3" s="1"/>
  <c r="BA550" i="3"/>
  <c r="AZ550" i="3" s="1"/>
  <c r="BL546" i="3"/>
  <c r="BA546" i="3"/>
  <c r="AZ546" i="3" s="1"/>
  <c r="BA543" i="3"/>
  <c r="BL530" i="3"/>
  <c r="AZ530" i="3" s="1"/>
  <c r="BL512" i="3"/>
  <c r="AZ512" i="3" s="1"/>
  <c r="BL496" i="3"/>
  <c r="AZ496" i="3" s="1"/>
  <c r="BA493" i="3"/>
  <c r="AZ493" i="3" s="1"/>
  <c r="F54" i="9"/>
  <c r="S39" i="40"/>
  <c r="F32" i="15"/>
  <c r="F60" i="15" s="1"/>
  <c r="F52" i="9"/>
  <c r="F30" i="68"/>
  <c r="F48" i="68" s="1"/>
  <c r="U17" i="21"/>
  <c r="AA36" i="21"/>
  <c r="U15" i="34"/>
  <c r="AB41" i="34"/>
  <c r="D6" i="52"/>
  <c r="S36" i="33"/>
  <c r="AA23" i="37"/>
  <c r="S17" i="37"/>
  <c r="D68" i="9"/>
  <c r="F30" i="69"/>
  <c r="F48" i="69" s="1"/>
  <c r="F31" i="12"/>
  <c r="U28" i="21"/>
  <c r="AC14" i="34"/>
  <c r="AB40" i="34"/>
  <c r="AB20" i="35"/>
  <c r="AB13" i="40"/>
  <c r="W28" i="40"/>
  <c r="W41" i="21"/>
  <c r="W15" i="33"/>
  <c r="W43" i="33"/>
  <c r="W38" i="33"/>
  <c r="U32" i="37"/>
  <c r="AC20" i="35"/>
  <c r="AB20" i="36"/>
  <c r="AA25" i="36"/>
  <c r="AA12" i="39"/>
  <c r="AA19" i="40"/>
  <c r="H12" i="39"/>
  <c r="AC13" i="34"/>
  <c r="AZ379" i="3"/>
  <c r="AZ322" i="3"/>
  <c r="AZ372" i="3"/>
  <c r="AZ347" i="3"/>
  <c r="AZ336" i="3"/>
  <c r="AZ305" i="3"/>
  <c r="AZ115" i="3"/>
  <c r="H12" i="37"/>
  <c r="AB12" i="37" s="1"/>
  <c r="BL519" i="3"/>
  <c r="BL535" i="3"/>
  <c r="AZ535" i="3" s="1"/>
  <c r="AZ575" i="3"/>
  <c r="S44" i="34"/>
  <c r="AA14" i="40"/>
  <c r="J13" i="21"/>
  <c r="AC11" i="40"/>
  <c r="AB35" i="33"/>
  <c r="AC39" i="33"/>
  <c r="H33" i="36"/>
  <c r="F33" i="36"/>
  <c r="AB31" i="36"/>
  <c r="U31" i="36"/>
  <c r="H44" i="39"/>
  <c r="F44" i="39"/>
  <c r="J44" i="39"/>
  <c r="F98" i="39"/>
  <c r="G98" i="39" s="1"/>
  <c r="F25" i="39"/>
  <c r="AA25" i="39" s="1"/>
  <c r="AA34" i="39"/>
  <c r="AZ390" i="3"/>
  <c r="AZ351" i="3"/>
  <c r="AZ521" i="3"/>
  <c r="AZ583" i="3"/>
  <c r="AZ558" i="3"/>
  <c r="AC44" i="21"/>
  <c r="W44" i="21"/>
  <c r="AA42" i="34"/>
  <c r="S29" i="35"/>
  <c r="AA29" i="35"/>
  <c r="U23" i="34"/>
  <c r="BA587" i="3"/>
  <c r="AZ587" i="3" s="1"/>
  <c r="BA586" i="3"/>
  <c r="BL585" i="3"/>
  <c r="BA585" i="3"/>
  <c r="AZ585" i="3" s="1"/>
  <c r="E121" i="39"/>
  <c r="F121" i="39" s="1"/>
  <c r="G121" i="39" s="1"/>
  <c r="H121" i="39" s="1"/>
  <c r="I121" i="39" s="1"/>
  <c r="J121" i="39" s="1"/>
  <c r="K121" i="39" s="1"/>
  <c r="L121" i="39" s="1"/>
  <c r="M121" i="39" s="1"/>
  <c r="F40" i="39"/>
  <c r="AA40" i="39" s="1"/>
  <c r="J40" i="39"/>
  <c r="AC40" i="39" s="1"/>
  <c r="H45" i="39"/>
  <c r="F45" i="39"/>
  <c r="J45" i="39"/>
  <c r="W45" i="39" s="1"/>
  <c r="F100" i="39"/>
  <c r="G100" i="39" s="1"/>
  <c r="H27" i="39"/>
  <c r="U27" i="39" s="1"/>
  <c r="F27" i="39"/>
  <c r="S27" i="39" s="1"/>
  <c r="J27" i="39"/>
  <c r="AC27" i="39" s="1"/>
  <c r="W31" i="35"/>
  <c r="AC31" i="35"/>
  <c r="W30" i="36"/>
  <c r="AC30" i="36"/>
  <c r="BL584" i="3"/>
  <c r="BA540" i="3"/>
  <c r="AZ540" i="3" s="1"/>
  <c r="BL536" i="3"/>
  <c r="BA532" i="3"/>
  <c r="AZ532" i="3" s="1"/>
  <c r="BL529" i="3"/>
  <c r="BL528" i="3"/>
  <c r="BA524" i="3"/>
  <c r="AZ524" i="3" s="1"/>
  <c r="BA519" i="3"/>
  <c r="BA518" i="3"/>
  <c r="AZ518" i="3" s="1"/>
  <c r="BL514" i="3"/>
  <c r="AZ514" i="3" s="1"/>
  <c r="BA511" i="3"/>
  <c r="BA510" i="3"/>
  <c r="AZ510" i="3" s="1"/>
  <c r="BL508" i="3"/>
  <c r="BA504" i="3"/>
  <c r="AZ504" i="3" s="1"/>
  <c r="BL501" i="3"/>
  <c r="AZ329" i="3"/>
  <c r="AZ304" i="3"/>
  <c r="AZ164" i="3"/>
  <c r="AZ394" i="3"/>
  <c r="BL503" i="3"/>
  <c r="AZ503" i="3" s="1"/>
  <c r="BL515" i="3"/>
  <c r="AZ515" i="3" s="1"/>
  <c r="BL523" i="3"/>
  <c r="AZ523" i="3" s="1"/>
  <c r="BL527" i="3"/>
  <c r="BL547" i="3"/>
  <c r="AZ547" i="3" s="1"/>
  <c r="AZ569" i="3"/>
  <c r="AZ571" i="3"/>
  <c r="AZ579" i="3"/>
  <c r="AC11" i="35"/>
  <c r="F9" i="34"/>
  <c r="AA9" i="34" s="1"/>
  <c r="J9" i="34"/>
  <c r="H36" i="35"/>
  <c r="J12" i="36"/>
  <c r="J24" i="36"/>
  <c r="J39" i="37"/>
  <c r="H39" i="37"/>
  <c r="AC8" i="40"/>
  <c r="W8" i="40"/>
  <c r="J39" i="40"/>
  <c r="H39" i="40"/>
  <c r="G556" i="3"/>
  <c r="BL511" i="3"/>
  <c r="BL539" i="3"/>
  <c r="AZ539" i="3" s="1"/>
  <c r="BL543" i="3"/>
  <c r="BL553" i="3"/>
  <c r="AZ564" i="3"/>
  <c r="AZ580" i="3"/>
  <c r="J12" i="34"/>
  <c r="H12" i="34"/>
  <c r="AC28" i="36"/>
  <c r="W28" i="36"/>
  <c r="AC25" i="37"/>
  <c r="W25" i="37"/>
  <c r="H25" i="37"/>
  <c r="F25" i="37"/>
  <c r="AC32" i="40"/>
  <c r="W32" i="40"/>
  <c r="AB31" i="35"/>
  <c r="U31" i="35"/>
  <c r="U30" i="36"/>
  <c r="AB30" i="36"/>
  <c r="AZ402" i="3"/>
  <c r="BA13" i="3"/>
  <c r="A15" i="62"/>
  <c r="B61" i="72" s="1"/>
  <c r="BL404" i="3"/>
  <c r="BL405" i="3"/>
  <c r="BL407" i="3"/>
  <c r="AZ407" i="3" s="1"/>
  <c r="BL410" i="3"/>
  <c r="BL420" i="3"/>
  <c r="G423" i="3"/>
  <c r="G558" i="3"/>
  <c r="BA401" i="3"/>
  <c r="AZ401" i="3" s="1"/>
  <c r="BA403" i="3"/>
  <c r="AZ403" i="3" s="1"/>
  <c r="BA404" i="3"/>
  <c r="AZ404" i="3" s="1"/>
  <c r="BA405" i="3"/>
  <c r="G409" i="3"/>
  <c r="BL411" i="3"/>
  <c r="BA413" i="3"/>
  <c r="AZ413" i="3" s="1"/>
  <c r="AZ419" i="3"/>
  <c r="BL428" i="3"/>
  <c r="BL429" i="3"/>
  <c r="BA439" i="3"/>
  <c r="AZ439" i="3" s="1"/>
  <c r="BA440" i="3"/>
  <c r="AZ440" i="3" s="1"/>
  <c r="BA443" i="3"/>
  <c r="AZ443" i="3" s="1"/>
  <c r="BA445" i="3"/>
  <c r="BA447" i="3"/>
  <c r="AZ447" i="3" s="1"/>
  <c r="C25" i="39"/>
  <c r="U33" i="33"/>
  <c r="G585" i="3"/>
  <c r="BL587" i="3"/>
  <c r="BL586" i="3"/>
  <c r="J12" i="35"/>
  <c r="G551" i="3"/>
  <c r="BL550" i="3"/>
  <c r="G542" i="3"/>
  <c r="E19" i="6"/>
  <c r="K6" i="1" s="1"/>
  <c r="H16" i="1" s="1"/>
  <c r="G398" i="3"/>
  <c r="G399" i="3"/>
  <c r="BL400" i="3"/>
  <c r="AZ400" i="3" s="1"/>
  <c r="BL408" i="3"/>
  <c r="AZ408" i="3" s="1"/>
  <c r="BL417" i="3"/>
  <c r="BL418" i="3"/>
  <c r="BA420" i="3"/>
  <c r="BL423" i="3"/>
  <c r="BL424" i="3"/>
  <c r="G427" i="3"/>
  <c r="BL430" i="3"/>
  <c r="G431" i="3"/>
  <c r="BL431" i="3"/>
  <c r="G433" i="3"/>
  <c r="BL435" i="3"/>
  <c r="BL436" i="3"/>
  <c r="AZ436" i="3" s="1"/>
  <c r="G441" i="3"/>
  <c r="G448" i="3"/>
  <c r="G449" i="3"/>
  <c r="BL449" i="3"/>
  <c r="AZ449" i="3" s="1"/>
  <c r="BL450" i="3"/>
  <c r="BL469" i="3"/>
  <c r="BL398" i="3"/>
  <c r="AZ398" i="3" s="1"/>
  <c r="AZ406" i="3"/>
  <c r="AZ422" i="3"/>
  <c r="BA441" i="3"/>
  <c r="BL451" i="3"/>
  <c r="AZ451" i="3" s="1"/>
  <c r="G452" i="3"/>
  <c r="BA469" i="3"/>
  <c r="AZ469" i="3" s="1"/>
  <c r="BL472" i="3"/>
  <c r="G478" i="3"/>
  <c r="BA412" i="3"/>
  <c r="AZ412" i="3" s="1"/>
  <c r="BA414" i="3"/>
  <c r="AZ414" i="3" s="1"/>
  <c r="BA415" i="3"/>
  <c r="BA416" i="3"/>
  <c r="AZ416" i="3" s="1"/>
  <c r="BA418" i="3"/>
  <c r="AZ418" i="3" s="1"/>
  <c r="BA421" i="3"/>
  <c r="BA423" i="3"/>
  <c r="BA425" i="3"/>
  <c r="BA426" i="3"/>
  <c r="BA427" i="3"/>
  <c r="AZ427" i="3" s="1"/>
  <c r="BA433" i="3"/>
  <c r="AZ433" i="3" s="1"/>
  <c r="BA435" i="3"/>
  <c r="BL437" i="3"/>
  <c r="AZ437" i="3" s="1"/>
  <c r="G439" i="3"/>
  <c r="BL441" i="3"/>
  <c r="BL442" i="3"/>
  <c r="BL444" i="3"/>
  <c r="AZ444" i="3" s="1"/>
  <c r="G446" i="3"/>
  <c r="BL448" i="3"/>
  <c r="AZ448" i="3" s="1"/>
  <c r="G450" i="3"/>
  <c r="BA454" i="3"/>
  <c r="AZ454" i="3" s="1"/>
  <c r="BA457" i="3"/>
  <c r="AZ457" i="3" s="1"/>
  <c r="BA459" i="3"/>
  <c r="AZ459" i="3" s="1"/>
  <c r="BA460" i="3"/>
  <c r="BA461" i="3"/>
  <c r="BL464" i="3"/>
  <c r="BL466" i="3"/>
  <c r="AZ466" i="3" s="1"/>
  <c r="G468" i="3"/>
  <c r="G469" i="3"/>
  <c r="BL476" i="3"/>
  <c r="AZ476" i="3" s="1"/>
  <c r="BL477" i="3"/>
  <c r="BL478" i="3"/>
  <c r="G479" i="3"/>
  <c r="G480" i="3"/>
  <c r="BL480" i="3"/>
  <c r="AZ480" i="3" s="1"/>
  <c r="G482" i="3"/>
  <c r="BA483" i="3"/>
  <c r="BL483" i="3"/>
  <c r="AZ483" i="3" s="1"/>
  <c r="BA486" i="3"/>
  <c r="BL489" i="3"/>
  <c r="BL491" i="3"/>
  <c r="AZ491" i="3" s="1"/>
  <c r="BL492" i="3"/>
  <c r="G307" i="3"/>
  <c r="BA315" i="3"/>
  <c r="AZ315" i="3" s="1"/>
  <c r="BA333" i="3"/>
  <c r="BL346" i="3"/>
  <c r="AZ346" i="3" s="1"/>
  <c r="G349" i="3"/>
  <c r="BA385" i="3"/>
  <c r="BA386" i="3"/>
  <c r="AZ386" i="3" s="1"/>
  <c r="BL211" i="3"/>
  <c r="BL212" i="3"/>
  <c r="BA218" i="3"/>
  <c r="BL218" i="3"/>
  <c r="BL222" i="3"/>
  <c r="BA225" i="3"/>
  <c r="BL452" i="3"/>
  <c r="G454" i="3"/>
  <c r="BL456" i="3"/>
  <c r="BA464" i="3"/>
  <c r="BL467" i="3"/>
  <c r="BL468" i="3"/>
  <c r="AZ468" i="3" s="1"/>
  <c r="BL470" i="3"/>
  <c r="G472" i="3"/>
  <c r="G473" i="3"/>
  <c r="BL473" i="3"/>
  <c r="AZ473" i="3" s="1"/>
  <c r="BL474" i="3"/>
  <c r="G475" i="3"/>
  <c r="BA482" i="3"/>
  <c r="BA484" i="3"/>
  <c r="AZ484" i="3" s="1"/>
  <c r="G491" i="3"/>
  <c r="BA303" i="3"/>
  <c r="AZ303" i="3" s="1"/>
  <c r="BA307" i="3"/>
  <c r="G311" i="3"/>
  <c r="BL314" i="3"/>
  <c r="AZ314" i="3" s="1"/>
  <c r="G315" i="3"/>
  <c r="BA332" i="3"/>
  <c r="BL332" i="3"/>
  <c r="G339" i="3"/>
  <c r="G364" i="3"/>
  <c r="BA367" i="3"/>
  <c r="AZ367" i="3" s="1"/>
  <c r="BA370" i="3"/>
  <c r="AZ370" i="3" s="1"/>
  <c r="BL208" i="3"/>
  <c r="G210" i="3"/>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AZ463" i="3" s="1"/>
  <c r="G465" i="3"/>
  <c r="BA471" i="3"/>
  <c r="AZ471" i="3" s="1"/>
  <c r="BL317" i="3"/>
  <c r="BA349" i="3"/>
  <c r="AZ349" i="3" s="1"/>
  <c r="BA353" i="3"/>
  <c r="AZ353" i="3" s="1"/>
  <c r="BL353" i="3"/>
  <c r="BA358" i="3"/>
  <c r="AZ358" i="3" s="1"/>
  <c r="BL365" i="3"/>
  <c r="AZ365" i="3" s="1"/>
  <c r="BA368" i="3"/>
  <c r="AZ368" i="3" s="1"/>
  <c r="BL368" i="3"/>
  <c r="BA374" i="3"/>
  <c r="BA397" i="3"/>
  <c r="AZ397" i="3" s="1"/>
  <c r="BL397" i="3"/>
  <c r="BL214" i="3"/>
  <c r="AZ214" i="3" s="1"/>
  <c r="BA228" i="3"/>
  <c r="G231" i="3"/>
  <c r="BA388" i="3"/>
  <c r="AZ388" i="3" s="1"/>
  <c r="BA396" i="3"/>
  <c r="BA209" i="3"/>
  <c r="BL217" i="3"/>
  <c r="AZ217" i="3" s="1"/>
  <c r="BA219" i="3"/>
  <c r="AZ219" i="3" s="1"/>
  <c r="BA221" i="3"/>
  <c r="BA223" i="3"/>
  <c r="BL228" i="3"/>
  <c r="BA230" i="3"/>
  <c r="AZ230" i="3" s="1"/>
  <c r="BL232" i="3"/>
  <c r="BL234" i="3"/>
  <c r="BA236" i="3"/>
  <c r="AZ236" i="3" s="1"/>
  <c r="BA238" i="3"/>
  <c r="BA243" i="3"/>
  <c r="BL248" i="3"/>
  <c r="AZ248" i="3" s="1"/>
  <c r="G250" i="3"/>
  <c r="BL250" i="3"/>
  <c r="AZ250" i="3" s="1"/>
  <c r="G252" i="3"/>
  <c r="BA259" i="3"/>
  <c r="AZ259" i="3" s="1"/>
  <c r="BL261" i="3"/>
  <c r="BA263" i="3"/>
  <c r="BA267" i="3"/>
  <c r="AZ267" i="3" s="1"/>
  <c r="BA269" i="3"/>
  <c r="AZ269" i="3" s="1"/>
  <c r="BA271" i="3"/>
  <c r="AZ271" i="3" s="1"/>
  <c r="BL271" i="3"/>
  <c r="BA274" i="3"/>
  <c r="BL274" i="3"/>
  <c r="BA276" i="3"/>
  <c r="AZ276" i="3" s="1"/>
  <c r="BA279" i="3"/>
  <c r="BA281" i="3"/>
  <c r="BL286" i="3"/>
  <c r="AZ286" i="3" s="1"/>
  <c r="G291" i="3"/>
  <c r="BA296" i="3"/>
  <c r="BA116" i="3"/>
  <c r="AZ116" i="3" s="1"/>
  <c r="BA121" i="3"/>
  <c r="BL121" i="3"/>
  <c r="BA124" i="3"/>
  <c r="AZ124" i="3" s="1"/>
  <c r="BA126" i="3"/>
  <c r="BA129" i="3"/>
  <c r="BA133" i="3"/>
  <c r="AZ133" i="3" s="1"/>
  <c r="BA145" i="3"/>
  <c r="BA156" i="3"/>
  <c r="AZ156" i="3" s="1"/>
  <c r="G374" i="3"/>
  <c r="BA384" i="3"/>
  <c r="AZ384" i="3" s="1"/>
  <c r="BA395" i="3"/>
  <c r="AZ395" i="3" s="1"/>
  <c r="BA208" i="3"/>
  <c r="AZ208" i="3" s="1"/>
  <c r="BA211" i="3"/>
  <c r="AZ211" i="3" s="1"/>
  <c r="BL213" i="3"/>
  <c r="BL215" i="3"/>
  <c r="BA222" i="3"/>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BL301" i="3"/>
  <c r="AZ301" i="3" s="1"/>
  <c r="BL302" i="3"/>
  <c r="AZ302" i="3" s="1"/>
  <c r="BA114" i="3"/>
  <c r="BL123" i="3"/>
  <c r="AZ123" i="3" s="1"/>
  <c r="BA128" i="3"/>
  <c r="AZ128" i="3" s="1"/>
  <c r="BA132" i="3"/>
  <c r="AZ132" i="3" s="1"/>
  <c r="BL155" i="3"/>
  <c r="AZ155" i="3" s="1"/>
  <c r="BL157" i="3"/>
  <c r="AZ157" i="3" s="1"/>
  <c r="BA164" i="3"/>
  <c r="BA166" i="3"/>
  <c r="AZ166" i="3" s="1"/>
  <c r="BA177" i="3"/>
  <c r="AZ177" i="3" s="1"/>
  <c r="BA178" i="3"/>
  <c r="BL223" i="3"/>
  <c r="G224" i="3"/>
  <c r="BA227" i="3"/>
  <c r="AZ227" i="3" s="1"/>
  <c r="BA229" i="3"/>
  <c r="BL229" i="3"/>
  <c r="BL231" i="3"/>
  <c r="AZ231" i="3" s="1"/>
  <c r="G233" i="3"/>
  <c r="BL233" i="3"/>
  <c r="AZ233" i="3" s="1"/>
  <c r="G235" i="3"/>
  <c r="BL235" i="3"/>
  <c r="AZ235" i="3" s="1"/>
  <c r="BL236" i="3"/>
  <c r="G237" i="3"/>
  <c r="BL238" i="3"/>
  <c r="G239" i="3"/>
  <c r="BL243" i="3"/>
  <c r="G244" i="3"/>
  <c r="BA247" i="3"/>
  <c r="BL247" i="3"/>
  <c r="BA249" i="3"/>
  <c r="BL249" i="3"/>
  <c r="BA251" i="3"/>
  <c r="BL251" i="3"/>
  <c r="BA253" i="3"/>
  <c r="BL260" i="3"/>
  <c r="G262" i="3"/>
  <c r="BL263" i="3"/>
  <c r="G264" i="3"/>
  <c r="BL270" i="3"/>
  <c r="BA272" i="3"/>
  <c r="AZ272" i="3" s="1"/>
  <c r="BL275" i="3"/>
  <c r="AZ275" i="3" s="1"/>
  <c r="G277" i="3"/>
  <c r="G280" i="3"/>
  <c r="G282" i="3"/>
  <c r="BL285" i="3"/>
  <c r="BL287" i="3"/>
  <c r="BA290" i="3"/>
  <c r="G297" i="3"/>
  <c r="BL299" i="3"/>
  <c r="G300" i="3"/>
  <c r="BL113" i="3"/>
  <c r="BL115" i="3"/>
  <c r="BA118" i="3"/>
  <c r="AZ118" i="3" s="1"/>
  <c r="BL118" i="3"/>
  <c r="BA122" i="3"/>
  <c r="AZ122" i="3" s="1"/>
  <c r="BL125" i="3"/>
  <c r="AZ125" i="3" s="1"/>
  <c r="BL126" i="3"/>
  <c r="G130" i="3"/>
  <c r="BL133" i="3"/>
  <c r="BL135" i="3"/>
  <c r="BL173" i="3"/>
  <c r="BA176" i="3"/>
  <c r="AZ176" i="3" s="1"/>
  <c r="BL183" i="3"/>
  <c r="AZ183" i="3" s="1"/>
  <c r="AZ270" i="3"/>
  <c r="AZ284" i="3"/>
  <c r="BL141" i="3"/>
  <c r="BL143" i="3"/>
  <c r="AZ143" i="3" s="1"/>
  <c r="AZ64" i="3"/>
  <c r="AZ65" i="3"/>
  <c r="BA103" i="3"/>
  <c r="AZ103" i="3" s="1"/>
  <c r="BA104" i="3"/>
  <c r="BA109" i="3"/>
  <c r="AC21" i="37"/>
  <c r="AA21" i="37"/>
  <c r="S21" i="37"/>
  <c r="T32" i="71"/>
  <c r="D32" i="71"/>
  <c r="D54" i="71"/>
  <c r="C55" i="71"/>
  <c r="V24" i="71"/>
  <c r="E23" i="71"/>
  <c r="E22" i="71" s="1"/>
  <c r="E21" i="71" s="1"/>
  <c r="E20" i="71" s="1"/>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BA174" i="3"/>
  <c r="BL179" i="3"/>
  <c r="AZ179" i="3" s="1"/>
  <c r="G180" i="3"/>
  <c r="BA181" i="3"/>
  <c r="AZ181" i="3" s="1"/>
  <c r="BA182" i="3"/>
  <c r="BL185" i="3"/>
  <c r="G186" i="3"/>
  <c r="G187" i="3"/>
  <c r="BL193" i="3"/>
  <c r="G194" i="3"/>
  <c r="BL194" i="3"/>
  <c r="AZ194" i="3" s="1"/>
  <c r="BA198" i="3"/>
  <c r="AZ198" i="3" s="1"/>
  <c r="G199" i="3"/>
  <c r="G204" i="3"/>
  <c r="G205" i="3"/>
  <c r="BL206" i="3"/>
  <c r="BA19" i="3"/>
  <c r="AZ19" i="3" s="1"/>
  <c r="G22" i="3"/>
  <c r="G24" i="3"/>
  <c r="G25" i="3"/>
  <c r="G27" i="3"/>
  <c r="BA27" i="3"/>
  <c r="AZ27" i="3" s="1"/>
  <c r="G30" i="3"/>
  <c r="BL30" i="3"/>
  <c r="BL31" i="3"/>
  <c r="AZ31" i="3" s="1"/>
  <c r="G35" i="3"/>
  <c r="G36" i="3"/>
  <c r="G37" i="3"/>
  <c r="G40" i="3"/>
  <c r="BL40" i="3"/>
  <c r="AZ40" i="3" s="1"/>
  <c r="BL41" i="3"/>
  <c r="AZ41" i="3" s="1"/>
  <c r="BL45" i="3"/>
  <c r="BA48" i="3"/>
  <c r="BA49" i="3"/>
  <c r="AZ49" i="3" s="1"/>
  <c r="BA51" i="3"/>
  <c r="G55" i="3"/>
  <c r="BL56" i="3"/>
  <c r="BA58" i="3"/>
  <c r="AZ58" i="3" s="1"/>
  <c r="BL59" i="3"/>
  <c r="AZ59" i="3" s="1"/>
  <c r="BL60" i="3"/>
  <c r="BA61" i="3"/>
  <c r="AZ61" i="3" s="1"/>
  <c r="BA68" i="3"/>
  <c r="AZ68" i="3" s="1"/>
  <c r="BA73" i="3"/>
  <c r="BA80" i="3"/>
  <c r="BL84" i="3"/>
  <c r="AA21" i="34"/>
  <c r="S21" i="34"/>
  <c r="P65" i="71"/>
  <c r="P66" i="71"/>
  <c r="D46" i="71"/>
  <c r="C47" i="71"/>
  <c r="D47" i="71" s="1"/>
  <c r="D51" i="71"/>
  <c r="C52" i="71"/>
  <c r="BA186" i="3"/>
  <c r="AZ186" i="3" s="1"/>
  <c r="BA190" i="3"/>
  <c r="AZ190" i="3" s="1"/>
  <c r="BA197" i="3"/>
  <c r="AZ197" i="3" s="1"/>
  <c r="BL201" i="3"/>
  <c r="AZ201" i="3" s="1"/>
  <c r="BL203" i="3"/>
  <c r="AZ203" i="3" s="1"/>
  <c r="BA204" i="3"/>
  <c r="AZ204" i="3" s="1"/>
  <c r="BA18" i="3"/>
  <c r="BL21" i="3"/>
  <c r="BL29" i="3"/>
  <c r="BA37" i="3"/>
  <c r="BL39" i="3"/>
  <c r="G43" i="3"/>
  <c r="G44" i="3"/>
  <c r="BA45" i="3"/>
  <c r="AZ45" i="3" s="1"/>
  <c r="BA46" i="3"/>
  <c r="BL49" i="3"/>
  <c r="BL50" i="3"/>
  <c r="AZ50" i="3" s="1"/>
  <c r="BL51" i="3"/>
  <c r="BL53" i="3"/>
  <c r="BA56" i="3"/>
  <c r="BA57" i="3"/>
  <c r="AZ57" i="3" s="1"/>
  <c r="BL58" i="3"/>
  <c r="G60" i="3"/>
  <c r="BA60" i="3"/>
  <c r="BA63" i="3"/>
  <c r="AZ63" i="3" s="1"/>
  <c r="BA66" i="3"/>
  <c r="BA71" i="3"/>
  <c r="BL77" i="3"/>
  <c r="AZ77" i="3" s="1"/>
  <c r="BA79" i="3"/>
  <c r="AZ79" i="3" s="1"/>
  <c r="BL86" i="3"/>
  <c r="AZ86" i="3" s="1"/>
  <c r="BA91" i="3"/>
  <c r="AZ91" i="3" s="1"/>
  <c r="BA98" i="3"/>
  <c r="BA100" i="3"/>
  <c r="AZ100" i="3" s="1"/>
  <c r="C25" i="40"/>
  <c r="B88" i="43"/>
  <c r="BL134" i="3"/>
  <c r="BL137" i="3"/>
  <c r="G143" i="3"/>
  <c r="BA146" i="3"/>
  <c r="AZ146" i="3" s="1"/>
  <c r="BA150" i="3"/>
  <c r="AZ150" i="3" s="1"/>
  <c r="G159" i="3"/>
  <c r="BL167" i="3"/>
  <c r="AZ167" i="3" s="1"/>
  <c r="G175" i="3"/>
  <c r="G176" i="3"/>
  <c r="BL178" i="3"/>
  <c r="BA180" i="3"/>
  <c r="AZ180" i="3" s="1"/>
  <c r="BL182" i="3"/>
  <c r="G183" i="3"/>
  <c r="BA185" i="3"/>
  <c r="AZ185" i="3" s="1"/>
  <c r="BL191" i="3"/>
  <c r="G192" i="3"/>
  <c r="BA193" i="3"/>
  <c r="BA196" i="3"/>
  <c r="AZ196" i="3" s="1"/>
  <c r="G203" i="3"/>
  <c r="BA205" i="3"/>
  <c r="AZ205" i="3" s="1"/>
  <c r="G20" i="3"/>
  <c r="BL20" i="3"/>
  <c r="AZ20" i="3" s="1"/>
  <c r="BA21" i="3"/>
  <c r="AZ21" i="3" s="1"/>
  <c r="BA25" i="3"/>
  <c r="AZ25" i="3" s="1"/>
  <c r="BA26" i="3"/>
  <c r="G28" i="3"/>
  <c r="BL28" i="3"/>
  <c r="AZ28" i="3" s="1"/>
  <c r="BA29" i="3"/>
  <c r="BA36" i="3"/>
  <c r="BL38" i="3"/>
  <c r="AZ38" i="3" s="1"/>
  <c r="BA39" i="3"/>
  <c r="AZ39" i="3" s="1"/>
  <c r="BL47" i="3"/>
  <c r="AZ47" i="3" s="1"/>
  <c r="G49" i="3"/>
  <c r="G50" i="3"/>
  <c r="G52" i="3"/>
  <c r="BA52" i="3"/>
  <c r="AZ52" i="3" s="1"/>
  <c r="BA53" i="3"/>
  <c r="AZ53" i="3" s="1"/>
  <c r="BA54" i="3"/>
  <c r="BL57" i="3"/>
  <c r="G59" i="3"/>
  <c r="G62" i="3"/>
  <c r="BL62" i="3"/>
  <c r="AZ62" i="3" s="1"/>
  <c r="BL63" i="3"/>
  <c r="G65" i="3"/>
  <c r="BL65" i="3"/>
  <c r="BL66" i="3"/>
  <c r="BL67" i="3"/>
  <c r="AZ67" i="3" s="1"/>
  <c r="G69" i="3"/>
  <c r="G70" i="3"/>
  <c r="BL70" i="3"/>
  <c r="AZ70" i="3" s="1"/>
  <c r="BL71" i="3"/>
  <c r="BL72" i="3"/>
  <c r="AZ72" i="3" s="1"/>
  <c r="G74" i="3"/>
  <c r="G75" i="3"/>
  <c r="BL75" i="3"/>
  <c r="AZ75" i="3" s="1"/>
  <c r="G79" i="3"/>
  <c r="BL81" i="3"/>
  <c r="BA82" i="3"/>
  <c r="AZ82" i="3" s="1"/>
  <c r="BL83" i="3"/>
  <c r="G86" i="3"/>
  <c r="BA87" i="3"/>
  <c r="BA89" i="3"/>
  <c r="BL93" i="3"/>
  <c r="BL94" i="3"/>
  <c r="AZ94" i="3" s="1"/>
  <c r="BL101" i="3"/>
  <c r="BL102" i="3"/>
  <c r="AZ102" i="3" s="1"/>
  <c r="BA105" i="3"/>
  <c r="AZ105" i="3" s="1"/>
  <c r="BA106" i="3"/>
  <c r="BL108" i="3"/>
  <c r="BA111" i="3"/>
  <c r="AZ111" i="3" s="1"/>
  <c r="K13" i="1"/>
  <c r="M13" i="1" s="1"/>
  <c r="O13" i="1" s="1"/>
  <c r="P13" i="1" s="1"/>
  <c r="AA21" i="33"/>
  <c r="C26" i="71"/>
  <c r="D26" i="71" s="1"/>
  <c r="D27" i="71"/>
  <c r="C60" i="71"/>
  <c r="D59" i="71"/>
  <c r="G104" i="3"/>
  <c r="G105" i="3"/>
  <c r="BL106" i="3"/>
  <c r="BA108" i="3"/>
  <c r="AZ108" i="3" s="1"/>
  <c r="BA110" i="3"/>
  <c r="AZ110" i="3" s="1"/>
  <c r="F3" i="35"/>
  <c r="S25" i="40"/>
  <c r="B77" i="43"/>
  <c r="AA18" i="35"/>
  <c r="O67" i="71"/>
  <c r="AA28" i="71"/>
  <c r="AB27" i="71"/>
  <c r="E79" i="71"/>
  <c r="E78" i="71" s="1"/>
  <c r="AB25" i="71"/>
  <c r="C43" i="71"/>
  <c r="X38" i="71"/>
  <c r="C35" i="71"/>
  <c r="N68" i="71"/>
  <c r="E38" i="71"/>
  <c r="E39" i="71" s="1"/>
  <c r="E40" i="71" s="1"/>
  <c r="U40" i="71" s="1"/>
  <c r="X33" i="71"/>
  <c r="AB37" i="71"/>
  <c r="B67" i="71"/>
  <c r="S72" i="71"/>
  <c r="B75" i="71"/>
  <c r="B74" i="71" s="1"/>
  <c r="C66" i="71"/>
  <c r="AA27" i="71"/>
  <c r="AB26" i="71"/>
  <c r="S28" i="71"/>
  <c r="C39" i="71"/>
  <c r="Y28" i="71"/>
  <c r="Z28" i="71" s="1"/>
  <c r="Y37" i="71"/>
  <c r="Z37" i="71" s="1"/>
  <c r="X35" i="71"/>
  <c r="AA37" i="71"/>
  <c r="Y30" i="71"/>
  <c r="Z30" i="71" s="1"/>
  <c r="X28" i="71"/>
  <c r="X32" i="71"/>
  <c r="F40" i="71"/>
  <c r="V40" i="71" s="1"/>
  <c r="AB38" i="71"/>
  <c r="F67" i="71"/>
  <c r="F75" i="71"/>
  <c r="F74" i="71" s="1"/>
  <c r="G83" i="3"/>
  <c r="BA84" i="3"/>
  <c r="AZ84" i="3" s="1"/>
  <c r="BL88" i="3"/>
  <c r="AZ88" i="3" s="1"/>
  <c r="G90" i="3"/>
  <c r="BL90" i="3"/>
  <c r="BL92" i="3"/>
  <c r="AZ92" i="3" s="1"/>
  <c r="G101" i="3"/>
  <c r="BA101" i="3"/>
  <c r="AZ101" i="3" s="1"/>
  <c r="G108" i="3"/>
  <c r="G109" i="3"/>
  <c r="BL112" i="3"/>
  <c r="U25" i="40"/>
  <c r="Q68" i="71"/>
  <c r="U68" i="71"/>
  <c r="X31" i="71"/>
  <c r="AA34" i="71"/>
  <c r="AB35" i="71"/>
  <c r="B51" i="71"/>
  <c r="B52" i="71" s="1"/>
  <c r="S52" i="71" s="1"/>
  <c r="E51" i="71"/>
  <c r="E52" i="71" s="1"/>
  <c r="U52" i="71" s="1"/>
  <c r="C40" i="11"/>
  <c r="S9" i="39"/>
  <c r="C40" i="68"/>
  <c r="H32" i="39"/>
  <c r="AB32" i="39" s="1"/>
  <c r="C18" i="9"/>
  <c r="D18" i="9" s="1"/>
  <c r="H123" i="39"/>
  <c r="I123" i="39" s="1"/>
  <c r="J123" i="39" s="1"/>
  <c r="K123" i="39" s="1"/>
  <c r="L123" i="39" s="1"/>
  <c r="M123" i="39" s="1"/>
  <c r="J41" i="39"/>
  <c r="W41" i="39" s="1"/>
  <c r="F41" i="39"/>
  <c r="S41" i="39" s="1"/>
  <c r="H41" i="39"/>
  <c r="AB41" i="39" s="1"/>
  <c r="U40" i="39"/>
  <c r="S40" i="39"/>
  <c r="W40" i="39"/>
  <c r="U42" i="39"/>
  <c r="S42" i="39"/>
  <c r="AC32" i="39"/>
  <c r="S32" i="39"/>
  <c r="AC31" i="39"/>
  <c r="U31" i="39"/>
  <c r="S31" i="39"/>
  <c r="W29" i="39"/>
  <c r="U29" i="39"/>
  <c r="W27" i="39"/>
  <c r="AC25" i="39"/>
  <c r="U25" i="39"/>
  <c r="AA23" i="39"/>
  <c r="AB21" i="39"/>
  <c r="S21" i="39"/>
  <c r="U19" i="39"/>
  <c r="S19" i="39"/>
  <c r="W19" i="39"/>
  <c r="W9" i="39"/>
  <c r="AB8" i="39"/>
  <c r="H5" i="3"/>
  <c r="C21" i="68"/>
  <c r="J1" i="73"/>
  <c r="C7" i="40"/>
  <c r="C63" i="40" s="1"/>
  <c r="C7" i="39"/>
  <c r="C67" i="39" s="1"/>
  <c r="C69" i="39" s="1"/>
  <c r="C7" i="34"/>
  <c r="C59" i="34" s="1"/>
  <c r="D59" i="34" s="1"/>
  <c r="E59" i="34" s="1"/>
  <c r="F59" i="34" s="1"/>
  <c r="G59" i="34" s="1"/>
  <c r="H59" i="34" s="1"/>
  <c r="I59" i="34" s="1"/>
  <c r="J59" i="34" s="1"/>
  <c r="K59" i="34" s="1"/>
  <c r="L59" i="34" s="1"/>
  <c r="M59" i="34" s="1"/>
  <c r="N59" i="34" s="1"/>
  <c r="O59" i="34" s="1"/>
  <c r="J51" i="15"/>
  <c r="J53" i="15" s="1"/>
  <c r="L56" i="15" s="1"/>
  <c r="G23" i="43"/>
  <c r="C23" i="43" s="1"/>
  <c r="F8" i="1"/>
  <c r="G8" i="1" s="1"/>
  <c r="G44" i="43"/>
  <c r="H69" i="43"/>
  <c r="C40" i="69"/>
  <c r="E19" i="68"/>
  <c r="G22" i="68"/>
  <c r="G22" i="69"/>
  <c r="G22" i="11"/>
  <c r="E1" i="73"/>
  <c r="G16" i="3"/>
  <c r="BL15" i="3"/>
  <c r="AZ15" i="3" s="1"/>
  <c r="AZ14" i="3"/>
  <c r="BL16" i="3"/>
  <c r="AZ16" i="3" s="1"/>
  <c r="F29" i="6"/>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2" i="3"/>
  <c r="AZ445" i="3"/>
  <c r="AZ452" i="3"/>
  <c r="AZ456" i="3"/>
  <c r="AZ467" i="3"/>
  <c r="AZ470" i="3"/>
  <c r="W35" i="39"/>
  <c r="F27" i="34"/>
  <c r="C21" i="39"/>
  <c r="U9" i="36"/>
  <c r="U14" i="37"/>
  <c r="H12" i="21"/>
  <c r="G526" i="3"/>
  <c r="AZ420" i="3"/>
  <c r="AZ424" i="3"/>
  <c r="AZ434" i="3"/>
  <c r="AZ438" i="3"/>
  <c r="AZ446" i="3"/>
  <c r="AZ450" i="3"/>
  <c r="G28" i="6"/>
  <c r="U26" i="21"/>
  <c r="W36" i="39"/>
  <c r="U23" i="40"/>
  <c r="AA39" i="37"/>
  <c r="AC16" i="36"/>
  <c r="AB12" i="33"/>
  <c r="C27" i="39"/>
  <c r="U40" i="40"/>
  <c r="AC9" i="40"/>
  <c r="W36" i="35"/>
  <c r="J12" i="21"/>
  <c r="B73" i="43"/>
  <c r="B76" i="43"/>
  <c r="F9" i="36"/>
  <c r="J40" i="40"/>
  <c r="G562" i="3"/>
  <c r="AZ426" i="3"/>
  <c r="AZ489" i="3"/>
  <c r="AZ385" i="3"/>
  <c r="AZ212" i="3"/>
  <c r="AZ220"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AZ268" i="3" s="1"/>
  <c r="G278" i="3"/>
  <c r="BA474" i="3"/>
  <c r="AZ474" i="3" s="1"/>
  <c r="BA475" i="3"/>
  <c r="AZ475" i="3" s="1"/>
  <c r="BL481" i="3"/>
  <c r="AZ481" i="3" s="1"/>
  <c r="BL482" i="3"/>
  <c r="AZ482" i="3" s="1"/>
  <c r="G483" i="3"/>
  <c r="BL485" i="3"/>
  <c r="AZ485" i="3" s="1"/>
  <c r="BL486" i="3"/>
  <c r="AZ486" i="3" s="1"/>
  <c r="G487" i="3"/>
  <c r="BA492" i="3"/>
  <c r="BL363" i="3"/>
  <c r="AZ363" i="3" s="1"/>
  <c r="G369" i="3"/>
  <c r="BL393" i="3"/>
  <c r="AZ393" i="3" s="1"/>
  <c r="BL396" i="3"/>
  <c r="AZ396" i="3" s="1"/>
  <c r="BL209" i="3"/>
  <c r="AZ209" i="3" s="1"/>
  <c r="AZ226" i="3"/>
  <c r="G240" i="3"/>
  <c r="G242" i="3"/>
  <c r="G245" i="3"/>
  <c r="BL246" i="3"/>
  <c r="AZ246" i="3" s="1"/>
  <c r="BL253" i="3"/>
  <c r="AZ253" i="3" s="1"/>
  <c r="BA261" i="3"/>
  <c r="BA264" i="3"/>
  <c r="AZ264" i="3" s="1"/>
  <c r="BA266" i="3"/>
  <c r="AZ266" i="3" s="1"/>
  <c r="G272" i="3"/>
  <c r="G275" i="3"/>
  <c r="BL276" i="3"/>
  <c r="BL279" i="3"/>
  <c r="AZ279" i="3" s="1"/>
  <c r="BL281" i="3"/>
  <c r="AZ281" i="3" s="1"/>
  <c r="BA285" i="3"/>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93" i="3"/>
  <c r="BL202" i="3"/>
  <c r="AZ202" i="3" s="1"/>
  <c r="AZ30" i="3"/>
  <c r="BL36" i="3"/>
  <c r="AZ36" i="3" s="1"/>
  <c r="AZ4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BL78" i="3"/>
  <c r="BA83" i="3"/>
  <c r="AZ83" i="3" s="1"/>
  <c r="G91" i="3"/>
  <c r="BL95" i="3"/>
  <c r="AZ95" i="3" s="1"/>
  <c r="BL98" i="3"/>
  <c r="AZ98" i="3" s="1"/>
  <c r="BL109" i="3"/>
  <c r="AZ109" i="3" s="1"/>
  <c r="AB21" i="21"/>
  <c r="AZ78" i="3"/>
  <c r="G77" i="3"/>
  <c r="BA81" i="3"/>
  <c r="AZ81" i="3" s="1"/>
  <c r="BA85" i="3"/>
  <c r="AZ85" i="3" s="1"/>
  <c r="BL89" i="3"/>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E28" i="6"/>
  <c r="K14" i="1" s="1"/>
  <c r="L19" i="6"/>
  <c r="L27" i="6" s="1"/>
  <c r="T13" i="1"/>
  <c r="C58" i="21"/>
  <c r="D58" i="21" s="1"/>
  <c r="C58" i="33"/>
  <c r="D58" i="33" s="1"/>
  <c r="E58" i="33" s="1"/>
  <c r="F58" i="33" s="1"/>
  <c r="G58" i="33" s="1"/>
  <c r="H58" i="33" s="1"/>
  <c r="I58" i="33" s="1"/>
  <c r="J58" i="33" s="1"/>
  <c r="K58" i="33" s="1"/>
  <c r="L58" i="33" s="1"/>
  <c r="M58" i="33" s="1"/>
  <c r="N58" i="33" s="1"/>
  <c r="O58" i="33"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I1" i="73"/>
  <c r="B39" i="1" s="1"/>
  <c r="F51" i="67"/>
  <c r="F65" i="67"/>
  <c r="F51" i="15"/>
  <c r="F66" i="67"/>
  <c r="L58" i="15"/>
  <c r="F66" i="15"/>
  <c r="Q71" i="67"/>
  <c r="F64" i="15"/>
  <c r="F71" i="67"/>
  <c r="C27" i="15"/>
  <c r="F65" i="15"/>
  <c r="B13" i="70"/>
  <c r="F68" i="67"/>
  <c r="F68" i="15"/>
  <c r="C36" i="68"/>
  <c r="D9" i="69"/>
  <c r="D9" i="68"/>
  <c r="F36" i="67"/>
  <c r="F26" i="67"/>
  <c r="D5" i="73"/>
  <c r="F42" i="67"/>
  <c r="M29" i="15"/>
  <c r="M29" i="67"/>
  <c r="L48" i="67"/>
  <c r="F7" i="15"/>
  <c r="F9" i="67"/>
  <c r="F13" i="67"/>
  <c r="F43" i="15"/>
  <c r="M28" i="67"/>
  <c r="M22" i="67"/>
  <c r="M26" i="67"/>
  <c r="F16" i="67"/>
  <c r="M8" i="67"/>
  <c r="F7" i="67"/>
  <c r="L47" i="67"/>
  <c r="D6" i="73"/>
  <c r="AA41" i="39" l="1"/>
  <c r="AB27" i="39"/>
  <c r="D67" i="39"/>
  <c r="D69" i="39" s="1"/>
  <c r="C44" i="43"/>
  <c r="F71" i="15"/>
  <c r="M7" i="15"/>
  <c r="J6" i="15" s="1"/>
  <c r="J18" i="15" s="1"/>
  <c r="C6" i="15"/>
  <c r="C32" i="15" s="1"/>
  <c r="F50" i="15"/>
  <c r="C49" i="15" s="1"/>
  <c r="L59" i="67"/>
  <c r="Q61" i="67" s="1"/>
  <c r="L58" i="67"/>
  <c r="Q60" i="67" s="1"/>
  <c r="M59" i="67"/>
  <c r="N59" i="67"/>
  <c r="C27" i="67"/>
  <c r="I54" i="67"/>
  <c r="J53" i="67"/>
  <c r="F1" i="67" s="1"/>
  <c r="J57" i="67"/>
  <c r="J55" i="67" s="1"/>
  <c r="J58" i="67" s="1"/>
  <c r="Q50" i="67" s="1"/>
  <c r="L56" i="67"/>
  <c r="M7" i="67"/>
  <c r="J6" i="67" s="1"/>
  <c r="J18" i="67" s="1"/>
  <c r="F50" i="67"/>
  <c r="C49" i="67" s="1"/>
  <c r="C6" i="67"/>
  <c r="C32" i="67" s="1"/>
  <c r="F64" i="67"/>
  <c r="AZ421" i="3"/>
  <c r="AP6" i="1"/>
  <c r="C36" i="69" s="1"/>
  <c r="W12" i="35"/>
  <c r="AC12" i="35"/>
  <c r="AA25" i="37"/>
  <c r="S25" i="37"/>
  <c r="U39" i="40"/>
  <c r="AB39" i="40"/>
  <c r="AB39" i="37"/>
  <c r="U39" i="37"/>
  <c r="AB36" i="35"/>
  <c r="U36" i="35"/>
  <c r="S45" i="39"/>
  <c r="AA45" i="39"/>
  <c r="AA44" i="39"/>
  <c r="S44" i="39"/>
  <c r="AA33" i="36"/>
  <c r="S33" i="36"/>
  <c r="U38" i="37"/>
  <c r="AB38" i="37"/>
  <c r="W31" i="34"/>
  <c r="AC31" i="34"/>
  <c r="AA46" i="21"/>
  <c r="S46" i="21"/>
  <c r="AB31" i="21"/>
  <c r="U31" i="21"/>
  <c r="AZ536" i="3"/>
  <c r="N67" i="71"/>
  <c r="B66" i="71"/>
  <c r="AZ170" i="3"/>
  <c r="AZ285" i="3"/>
  <c r="AZ261" i="3"/>
  <c r="AZ492" i="3"/>
  <c r="D39" i="71"/>
  <c r="C40" i="71"/>
  <c r="O65" i="71"/>
  <c r="O66" i="71"/>
  <c r="D66" i="71"/>
  <c r="C36" i="71"/>
  <c r="D35" i="71"/>
  <c r="T52" i="71"/>
  <c r="D52" i="71"/>
  <c r="AZ182" i="3"/>
  <c r="D55" i="71"/>
  <c r="C56" i="71"/>
  <c r="AZ251" i="3"/>
  <c r="AZ247" i="3"/>
  <c r="AZ222" i="3"/>
  <c r="AZ121" i="3"/>
  <c r="AZ223" i="3"/>
  <c r="AZ228" i="3"/>
  <c r="AZ332" i="3"/>
  <c r="AZ461" i="3"/>
  <c r="U25" i="37"/>
  <c r="AB25" i="37"/>
  <c r="AZ511" i="3"/>
  <c r="AC39" i="40"/>
  <c r="W39" i="40"/>
  <c r="AC39" i="37"/>
  <c r="W39" i="37"/>
  <c r="AC9" i="34"/>
  <c r="W9" i="34"/>
  <c r="U45" i="39"/>
  <c r="AB45" i="39"/>
  <c r="AB44" i="39"/>
  <c r="U44" i="39"/>
  <c r="AB33" i="36"/>
  <c r="U33" i="36"/>
  <c r="AC13" i="21"/>
  <c r="W13" i="21"/>
  <c r="AB12" i="39"/>
  <c r="U12" i="39"/>
  <c r="AZ543" i="3"/>
  <c r="AC38" i="40"/>
  <c r="W38" i="40"/>
  <c r="S38" i="37"/>
  <c r="AA38" i="37"/>
  <c r="AB27" i="21"/>
  <c r="U27" i="21"/>
  <c r="AZ501" i="3"/>
  <c r="S26" i="33"/>
  <c r="AA26" i="33"/>
  <c r="B20" i="31"/>
  <c r="B21" i="31" s="1"/>
  <c r="M6" i="1"/>
  <c r="G5" i="3"/>
  <c r="B3" i="3" s="1"/>
  <c r="E212" i="3" s="1"/>
  <c r="AA27" i="39"/>
  <c r="AZ29" i="3"/>
  <c r="AZ71" i="3"/>
  <c r="AZ173" i="3"/>
  <c r="AZ137" i="3"/>
  <c r="AZ229" i="3"/>
  <c r="AZ178" i="3"/>
  <c r="AZ126" i="3"/>
  <c r="AZ274" i="3"/>
  <c r="AZ243" i="3"/>
  <c r="AZ464" i="3"/>
  <c r="AZ218" i="3"/>
  <c r="AZ460" i="3"/>
  <c r="AZ435" i="3"/>
  <c r="AZ425" i="3"/>
  <c r="AB12" i="34"/>
  <c r="U12" i="34"/>
  <c r="AC24" i="36"/>
  <c r="W24" i="36"/>
  <c r="AZ519" i="3"/>
  <c r="AB38" i="40"/>
  <c r="U38" i="40"/>
  <c r="S47" i="34"/>
  <c r="AA47" i="34"/>
  <c r="S14" i="33"/>
  <c r="AA14" i="33"/>
  <c r="AC31" i="21"/>
  <c r="W31" i="21"/>
  <c r="W27" i="21"/>
  <c r="AC27" i="21"/>
  <c r="AC26" i="33"/>
  <c r="W26" i="33"/>
  <c r="Q16" i="1"/>
  <c r="F27" i="69" s="1"/>
  <c r="C47" i="69" s="1"/>
  <c r="D45" i="69" s="1"/>
  <c r="AZ89" i="3"/>
  <c r="G30" i="6"/>
  <c r="G31" i="6" s="1"/>
  <c r="AC41" i="39"/>
  <c r="F66" i="71"/>
  <c r="Q67" i="71"/>
  <c r="C44" i="71"/>
  <c r="D43" i="71"/>
  <c r="T60" i="71"/>
  <c r="D60" i="71"/>
  <c r="AZ66" i="3"/>
  <c r="AZ51" i="3"/>
  <c r="AZ249" i="3"/>
  <c r="AZ263" i="3"/>
  <c r="AZ238" i="3"/>
  <c r="AZ423" i="3"/>
  <c r="AZ415" i="3"/>
  <c r="AZ441" i="3"/>
  <c r="AZ405" i="3"/>
  <c r="W12" i="34"/>
  <c r="AC12" i="34"/>
  <c r="AC12" i="36"/>
  <c r="W12" i="36"/>
  <c r="AZ586" i="3"/>
  <c r="AC44" i="39"/>
  <c r="W44" i="39"/>
  <c r="S38" i="40"/>
  <c r="AA38" i="40"/>
  <c r="U47" i="34"/>
  <c r="AB47" i="34"/>
  <c r="AC14" i="33"/>
  <c r="W14" i="33"/>
  <c r="S31" i="21"/>
  <c r="AA31" i="21"/>
  <c r="AA27" i="21"/>
  <c r="S27" i="21"/>
  <c r="AA13" i="21"/>
  <c r="S13" i="21"/>
  <c r="AZ527" i="3"/>
  <c r="AB26" i="33"/>
  <c r="U26" i="33"/>
  <c r="I54" i="15"/>
  <c r="N59" i="15"/>
  <c r="L59" i="15"/>
  <c r="Q74" i="15" s="1"/>
  <c r="J57" i="15"/>
  <c r="J55" i="15" s="1"/>
  <c r="J58" i="15" s="1"/>
  <c r="Q50" i="15" s="1"/>
  <c r="M59" i="15"/>
  <c r="U32" i="39"/>
  <c r="U41" i="39"/>
  <c r="G16" i="1"/>
  <c r="F10" i="39" s="1"/>
  <c r="J7" i="37"/>
  <c r="K16" i="1"/>
  <c r="B29" i="1" s="1"/>
  <c r="C8" i="68" s="1"/>
  <c r="P6" i="1"/>
  <c r="C13" i="12" s="1"/>
  <c r="K1" i="73"/>
  <c r="E575" i="3"/>
  <c r="E442" i="3"/>
  <c r="E417" i="3"/>
  <c r="E95" i="3"/>
  <c r="E409" i="3"/>
  <c r="E64" i="3"/>
  <c r="E67" i="3"/>
  <c r="E233" i="3"/>
  <c r="E198" i="3"/>
  <c r="AL6" i="3"/>
  <c r="E34" i="3"/>
  <c r="E102" i="3"/>
  <c r="E405" i="3"/>
  <c r="E408" i="3"/>
  <c r="E115" i="3"/>
  <c r="E428" i="3"/>
  <c r="E158" i="3"/>
  <c r="E83" i="3"/>
  <c r="E105" i="3"/>
  <c r="E493" i="3"/>
  <c r="E486" i="3"/>
  <c r="E507" i="3"/>
  <c r="E490" i="3"/>
  <c r="E376" i="3"/>
  <c r="E498" i="3"/>
  <c r="E419" i="3"/>
  <c r="E40" i="3"/>
  <c r="E25" i="3"/>
  <c r="E202" i="3"/>
  <c r="E226" i="3"/>
  <c r="E333" i="3"/>
  <c r="E372" i="3"/>
  <c r="E43" i="3"/>
  <c r="E540" i="3"/>
  <c r="E455" i="3"/>
  <c r="E79" i="3"/>
  <c r="E137" i="3"/>
  <c r="E194" i="3"/>
  <c r="E339" i="3"/>
  <c r="E325" i="3"/>
  <c r="E52" i="3"/>
  <c r="E36" i="3"/>
  <c r="E147" i="3"/>
  <c r="E289" i="3"/>
  <c r="E50" i="3"/>
  <c r="E20" i="3"/>
  <c r="E218" i="3"/>
  <c r="E265" i="3"/>
  <c r="E101" i="3"/>
  <c r="E165" i="3"/>
  <c r="E398" i="3"/>
  <c r="E566" i="3"/>
  <c r="E155" i="3"/>
  <c r="E348" i="3"/>
  <c r="E65" i="3"/>
  <c r="E386" i="3"/>
  <c r="E51" i="3"/>
  <c r="E222" i="3"/>
  <c r="E421" i="3"/>
  <c r="E416" i="3"/>
  <c r="E57" i="3"/>
  <c r="E110" i="3"/>
  <c r="E209" i="3"/>
  <c r="E354" i="3"/>
  <c r="E19" i="3"/>
  <c r="E323" i="3"/>
  <c r="E582" i="3"/>
  <c r="E436" i="3"/>
  <c r="E47" i="3"/>
  <c r="E266" i="3"/>
  <c r="E373" i="3"/>
  <c r="E542" i="3"/>
  <c r="E259" i="3"/>
  <c r="E462" i="3"/>
  <c r="Y6" i="3"/>
  <c r="E179" i="3"/>
  <c r="E488" i="3"/>
  <c r="E195" i="3"/>
  <c r="E167" i="3"/>
  <c r="E413" i="3"/>
  <c r="E98" i="3"/>
  <c r="E30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8" i="12"/>
  <c r="C29" i="12" s="1"/>
  <c r="D28" i="12" s="1"/>
  <c r="E60" i="40"/>
  <c r="F31" i="6"/>
  <c r="F36" i="6" s="1"/>
  <c r="E36" i="6" s="1"/>
  <c r="E51" i="40"/>
  <c r="E16" i="6"/>
  <c r="E58" i="40"/>
  <c r="E62" i="39"/>
  <c r="M14" i="1"/>
  <c r="D5" i="43"/>
  <c r="J10" i="40"/>
  <c r="AC10" i="40" s="1"/>
  <c r="H10" i="39"/>
  <c r="U10" i="39" s="1"/>
  <c r="F10" i="40"/>
  <c r="S10" i="40" s="1"/>
  <c r="J10" i="39"/>
  <c r="W10" i="39" s="1"/>
  <c r="H10" i="40"/>
  <c r="AB10" i="40" s="1"/>
  <c r="C7" i="43"/>
  <c r="C5" i="43" s="1"/>
  <c r="D10" i="52"/>
  <c r="D125" i="9"/>
  <c r="D11" i="52" s="1"/>
  <c r="F59" i="67"/>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J10" i="15" s="1"/>
  <c r="F11" i="67"/>
  <c r="F1" i="15"/>
  <c r="Q52" i="15"/>
  <c r="Q60" i="15"/>
  <c r="Q73" i="15"/>
  <c r="AE11" i="1"/>
  <c r="AE9" i="1"/>
  <c r="AE7" i="1"/>
  <c r="AE8" i="1"/>
  <c r="AE12" i="1"/>
  <c r="AE10" i="1"/>
  <c r="C16" i="67"/>
  <c r="D4" i="73"/>
  <c r="D3" i="73"/>
  <c r="G1" i="73"/>
  <c r="AE6" i="1"/>
  <c r="D7" i="73"/>
  <c r="F41" i="67"/>
  <c r="C16" i="15"/>
  <c r="F27" i="68" l="1"/>
  <c r="F27" i="11"/>
  <c r="C29" i="11" s="1"/>
  <c r="D27" i="11" s="1"/>
  <c r="F45" i="69"/>
  <c r="Q52" i="67"/>
  <c r="C29" i="69"/>
  <c r="D27" i="69" s="1"/>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543" i="3"/>
  <c r="E223" i="3"/>
  <c r="E49" i="3"/>
  <c r="E420" i="3"/>
  <c r="E173" i="3"/>
  <c r="E235" i="3"/>
  <c r="E309" i="3"/>
  <c r="E310" i="3"/>
  <c r="E389" i="3"/>
  <c r="E554" i="3"/>
  <c r="E536" i="3"/>
  <c r="Q74" i="67"/>
  <c r="E127" i="3"/>
  <c r="E187" i="3"/>
  <c r="E87" i="3"/>
  <c r="AD6" i="3"/>
  <c r="AC6" i="3" s="1"/>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64" i="3"/>
  <c r="E16" i="3"/>
  <c r="E220" i="3"/>
  <c r="E497" i="3"/>
  <c r="E22" i="3"/>
  <c r="E18" i="3"/>
  <c r="E63" i="3"/>
  <c r="E267" i="3"/>
  <c r="E241" i="3"/>
  <c r="E449"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J5" i="67"/>
  <c r="J24" i="67" s="1"/>
  <c r="Q73" i="67"/>
  <c r="Q61" i="15"/>
  <c r="J5" i="15"/>
  <c r="J24" i="15" s="1"/>
  <c r="Q66" i="71"/>
  <c r="Q65" i="71"/>
  <c r="D56" i="71"/>
  <c r="T56" i="71"/>
  <c r="O6" i="1"/>
  <c r="N65" i="71"/>
  <c r="N66" i="71"/>
  <c r="T44" i="71"/>
  <c r="D44" i="71"/>
  <c r="D36" i="71"/>
  <c r="T36" i="71"/>
  <c r="T40" i="71"/>
  <c r="D40" i="71"/>
  <c r="F67" i="39"/>
  <c r="F69" i="39" s="1"/>
  <c r="H6" i="3"/>
  <c r="E3" i="6"/>
  <c r="D3" i="21" s="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M18" i="9"/>
  <c r="B118" i="9" s="1"/>
  <c r="B14" i="74" s="1"/>
  <c r="D3" i="33"/>
  <c r="C39" i="43"/>
  <c r="C42" i="43"/>
  <c r="E42" i="43" s="1"/>
  <c r="C38" i="43"/>
  <c r="AB10" i="39"/>
  <c r="AA10" i="40"/>
  <c r="U10" i="40"/>
  <c r="W10" i="40"/>
  <c r="AC10" i="39"/>
  <c r="U7" i="37"/>
  <c r="G67"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C53" i="67"/>
  <c r="C48" i="67" s="1"/>
  <c r="C10" i="67"/>
  <c r="C5" i="67" s="1"/>
  <c r="C38" i="67" s="1"/>
  <c r="C53" i="15"/>
  <c r="C48" i="15" s="1"/>
  <c r="C66" i="15" s="1"/>
  <c r="C10" i="15"/>
  <c r="C5" i="15" s="1"/>
  <c r="C38" i="15" s="1"/>
  <c r="M27" i="15"/>
  <c r="F41" i="15"/>
  <c r="M27" i="67"/>
  <c r="O16" i="1" l="1"/>
  <c r="E6" i="3"/>
  <c r="D14" i="12"/>
  <c r="D17" i="12" s="1"/>
  <c r="C17" i="12" s="1"/>
  <c r="C17" i="4"/>
  <c r="B4" i="52" s="1"/>
  <c r="B43" i="72" s="1"/>
  <c r="D19" i="11"/>
  <c r="C19" i="11" s="1"/>
  <c r="D37" i="11"/>
  <c r="D3" i="37"/>
  <c r="D3" i="34"/>
  <c r="E6" i="6"/>
  <c r="H38" i="39"/>
  <c r="F38" i="39"/>
  <c r="J38" i="39"/>
  <c r="B1" i="74"/>
  <c r="F22" i="68"/>
  <c r="C44" i="68" s="1"/>
  <c r="D41" i="68" s="1"/>
  <c r="E49" i="34"/>
  <c r="F24" i="15"/>
  <c r="C24" i="15" s="1"/>
  <c r="F24" i="67"/>
  <c r="C24" i="67" s="1"/>
  <c r="F25" i="12"/>
  <c r="C26" i="12" s="1"/>
  <c r="D25" i="12" s="1"/>
  <c r="F22" i="69"/>
  <c r="F41" i="69" s="1"/>
  <c r="F22" i="11"/>
  <c r="C24" i="11"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D26" i="6"/>
  <c r="D8" i="6"/>
  <c r="D14" i="6"/>
  <c r="D6" i="6"/>
  <c r="D9" i="6"/>
  <c r="D10" i="6"/>
  <c r="D29" i="6"/>
  <c r="H21" i="6"/>
  <c r="H24" i="6"/>
  <c r="D19" i="6"/>
  <c r="M19" i="9" s="1"/>
  <c r="C118" i="9"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4" i="67"/>
  <c r="C17" i="67"/>
  <c r="H22" i="6" l="1"/>
  <c r="W38" i="39"/>
  <c r="AC38" i="39"/>
  <c r="AA38" i="39"/>
  <c r="S38" i="39"/>
  <c r="AB38" i="39"/>
  <c r="U38" i="39"/>
  <c r="F41" i="68"/>
  <c r="C14" i="74"/>
  <c r="B2" i="74" s="1"/>
  <c r="C26" i="68"/>
  <c r="D22" i="68" s="1"/>
  <c r="H25" i="6"/>
  <c r="R25" i="6" s="1"/>
  <c r="R12" i="1" s="1"/>
  <c r="C26" i="11"/>
  <c r="D22" i="11" s="1"/>
  <c r="C23" i="11"/>
  <c r="C44" i="11"/>
  <c r="D41" i="11" s="1"/>
  <c r="C25" i="11"/>
  <c r="C44" i="69"/>
  <c r="D41" i="69" s="1"/>
  <c r="C26" i="69"/>
  <c r="D22" i="69"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22" i="11" l="1"/>
  <c r="C31" i="11" s="1"/>
  <c r="C15" i="71"/>
  <c r="T16" i="71"/>
  <c r="D16"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I7" i="6" s="1"/>
  <c r="C23" i="69"/>
  <c r="I69" i="39"/>
  <c r="J67" i="39"/>
  <c r="I63" i="40"/>
  <c r="H65" i="40"/>
  <c r="I58" i="21"/>
  <c r="J58" i="21" s="1"/>
  <c r="K58" i="21" s="1"/>
  <c r="L58" i="21" s="1"/>
  <c r="M58" i="21" s="1"/>
  <c r="N58" i="21" s="1"/>
  <c r="O58" i="21" s="1"/>
  <c r="H7" i="21" s="1"/>
  <c r="J48" i="35"/>
  <c r="G3" i="43" l="1"/>
  <c r="U16" i="71"/>
  <c r="M23" i="43"/>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J63" i="40"/>
  <c r="I65" i="40"/>
  <c r="K48" i="35"/>
  <c r="L48" i="35" s="1"/>
  <c r="M48" i="35" s="1"/>
  <c r="N48" i="35" s="1"/>
  <c r="O48" i="35" s="1"/>
  <c r="H7" i="35" s="1"/>
  <c r="H26" i="43" l="1"/>
  <c r="J26" i="43"/>
  <c r="F26" i="43"/>
  <c r="B116" i="43"/>
  <c r="N94" i="46"/>
  <c r="E26" i="43"/>
  <c r="Z7" i="43"/>
  <c r="N370" i="46"/>
  <c r="G26" i="43"/>
  <c r="J11" i="39"/>
  <c r="H11" i="39"/>
  <c r="F11" i="39"/>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67"/>
  <c r="F35" i="15"/>
  <c r="M21" i="67"/>
  <c r="M21" i="15"/>
  <c r="B119" i="43" l="1"/>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S11" i="39"/>
  <c r="AA11" i="39"/>
  <c r="E48" i="21"/>
  <c r="I53" i="21" s="1"/>
  <c r="J53" i="21" s="1"/>
  <c r="AB11" i="39"/>
  <c r="U11" i="39"/>
  <c r="W11" i="39"/>
  <c r="AC11" i="39"/>
  <c r="D26" i="43"/>
  <c r="C25" i="43"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G42" i="35"/>
  <c r="H42" i="35" s="1"/>
  <c r="G43" i="35"/>
  <c r="H43" i="35" s="1"/>
  <c r="K65" i="40"/>
  <c r="L63" i="40"/>
  <c r="I42" i="35"/>
  <c r="J42" i="35" s="1"/>
  <c r="E52" i="21" l="1"/>
  <c r="F52" i="21" s="1"/>
  <c r="E53" i="21"/>
  <c r="F53" i="21" s="1"/>
  <c r="C33" i="43"/>
  <c r="C118" i="43"/>
  <c r="D116" i="43"/>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E33" i="43" l="1"/>
  <c r="C30" i="43" s="1"/>
  <c r="C34" i="43"/>
  <c r="E34" i="43" s="1"/>
  <c r="C31" i="43" s="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E6" i="76"/>
  <c r="L51" i="67"/>
  <c r="D2" i="33"/>
  <c r="E2" i="76" l="1"/>
  <c r="B2" i="43"/>
  <c r="Q69" i="15"/>
  <c r="Q68" i="15" s="1"/>
  <c r="I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B6" i="76"/>
  <c r="D2" i="35"/>
  <c r="D2" i="34"/>
  <c r="D2" i="36"/>
  <c r="L51" i="15"/>
  <c r="D2" i="37"/>
  <c r="B2" i="76" l="1"/>
  <c r="B3" i="76" s="1"/>
  <c r="B3" i="43"/>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0" i="1"/>
  <c r="AO11" i="1"/>
  <c r="AO12" i="1"/>
  <c r="AO8" i="1"/>
  <c r="AO7" i="1"/>
  <c r="AO9" i="1"/>
  <c r="R48" i="39" l="1"/>
  <c r="C47" i="39" s="1"/>
  <c r="C7" i="71"/>
  <c r="D8" i="71"/>
  <c r="L46" i="15"/>
  <c r="B2" i="15" s="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D19" i="9"/>
  <c r="C48" i="39" l="1"/>
  <c r="B64" i="39" s="1"/>
  <c r="F64" i="39" s="1"/>
  <c r="D102" i="9"/>
  <c r="D21" i="9"/>
  <c r="B6" i="70"/>
  <c r="B2" i="70" s="1"/>
  <c r="B3" i="70" s="1"/>
  <c r="B3" i="15"/>
  <c r="D7" i="71"/>
  <c r="C6" i="71"/>
  <c r="I46" i="40"/>
  <c r="J46" i="40" s="1"/>
  <c r="R43" i="40"/>
  <c r="E42" i="40"/>
  <c r="G47" i="40"/>
  <c r="H47" i="40" s="1"/>
  <c r="G46" i="40"/>
  <c r="H46" i="40" s="1"/>
  <c r="D20" i="9"/>
  <c r="B57" i="39" l="1"/>
  <c r="F57" i="39" s="1"/>
  <c r="B63" i="39"/>
  <c r="F63" i="39" s="1"/>
  <c r="B56" i="39"/>
  <c r="F56" i="39" s="1"/>
  <c r="B60" i="39"/>
  <c r="F60" i="39" s="1"/>
  <c r="B59" i="39"/>
  <c r="F59" i="39" s="1"/>
  <c r="B61" i="39"/>
  <c r="F61" i="39" s="1"/>
  <c r="B62" i="39"/>
  <c r="F62" i="39" s="1"/>
  <c r="B58" i="39"/>
  <c r="F58" i="39" s="1"/>
  <c r="D103" i="9"/>
  <c r="D6" i="71"/>
  <c r="C5" i="71"/>
  <c r="D5" i="71" s="1"/>
  <c r="M24" i="43" s="1"/>
  <c r="C42" i="40"/>
  <c r="C43" i="40"/>
  <c r="E47" i="40"/>
  <c r="F47" i="40" s="1"/>
  <c r="E46" i="40"/>
  <c r="F46" i="40" s="1"/>
  <c r="I47" i="40"/>
  <c r="J47" i="40" s="1"/>
  <c r="F65" i="39" l="1"/>
  <c r="B2" i="39" s="1"/>
  <c r="B3" i="39" s="1"/>
  <c r="B58" i="40"/>
  <c r="F58" i="40" s="1"/>
  <c r="B54" i="40"/>
  <c r="F54" i="40" s="1"/>
  <c r="B53" i="40"/>
  <c r="F53" i="40" s="1"/>
  <c r="B59" i="40"/>
  <c r="F59" i="40" s="1"/>
  <c r="B52" i="40"/>
  <c r="F52" i="40" s="1"/>
  <c r="B56" i="40"/>
  <c r="F56" i="40" s="1"/>
  <c r="B60" i="40"/>
  <c r="F60" i="40" s="1"/>
  <c r="B57" i="40"/>
  <c r="F57" i="40" s="1"/>
  <c r="B51" i="40"/>
  <c r="F51" i="40" s="1"/>
  <c r="F61" i="40"/>
  <c r="B2" i="40" s="1"/>
  <c r="B3" i="40" s="1"/>
  <c r="C6" i="68" l="1"/>
  <c r="C7" i="68" s="1"/>
  <c r="C5" i="68" s="1"/>
  <c r="C20" i="68" s="1"/>
  <c r="C23" i="68" l="1"/>
  <c r="C28" i="68"/>
  <c r="C27" i="68" s="1"/>
  <c r="C25" i="68"/>
  <c r="C22" i="68" l="1"/>
  <c r="C31" i="68" s="1"/>
  <c r="C52" i="68" s="1"/>
  <c r="B2" i="68" s="1"/>
  <c r="C19" i="9"/>
  <c r="C57" i="68" l="1"/>
  <c r="C56" i="68" s="1"/>
  <c r="C102" i="9"/>
  <c r="C21" i="9"/>
  <c r="D22" i="9"/>
  <c r="G19" i="9"/>
  <c r="B3" i="68"/>
  <c r="D34" i="9"/>
  <c r="D35" i="9"/>
  <c r="C20" i="9"/>
  <c r="C103" i="9" l="1"/>
  <c r="G20" i="9"/>
  <c r="C32" i="9" s="1"/>
  <c r="G21" i="9"/>
  <c r="D28" i="9"/>
  <c r="C35" i="9" l="1"/>
  <c r="H118" i="9"/>
  <c r="I118" i="9" l="1"/>
  <c r="H101" i="9"/>
  <c r="H4" i="52"/>
  <c r="H119" i="9"/>
  <c r="H5" i="52" s="1"/>
  <c r="D14" i="74"/>
  <c r="C104" i="9"/>
  <c r="C34" i="9"/>
  <c r="D118" i="9" s="1"/>
  <c r="F118" i="9"/>
  <c r="D119" i="9" l="1"/>
  <c r="D5" i="52" s="1"/>
  <c r="B49" i="72" s="1"/>
  <c r="D4" i="52"/>
  <c r="B47" i="72" s="1"/>
  <c r="D5" i="53"/>
  <c r="D45" i="9"/>
  <c r="D56" i="9" s="1"/>
  <c r="H107" i="9"/>
  <c r="M49" i="9" s="1"/>
  <c r="M48" i="9"/>
  <c r="F4" i="52"/>
  <c r="B51" i="72" s="1"/>
  <c r="F119" i="9"/>
  <c r="F5" i="52" s="1"/>
  <c r="B53" i="72" s="1"/>
  <c r="G118" i="9"/>
  <c r="G4" i="52" s="1"/>
  <c r="B52" i="72" s="1"/>
  <c r="G14" i="74"/>
  <c r="E14" i="74"/>
  <c r="F14" i="74"/>
  <c r="B5" i="74"/>
  <c r="C105" i="9"/>
  <c r="I4" i="52"/>
  <c r="H102" i="9"/>
  <c r="D7" i="53" s="1"/>
  <c r="B21" i="72" s="1"/>
  <c r="B6" i="74" l="1"/>
  <c r="B7" i="74"/>
  <c r="L64" i="9"/>
  <c r="M64" i="9" s="1"/>
  <c r="L68" i="9"/>
  <c r="M68" i="9" s="1"/>
  <c r="L63" i="9"/>
  <c r="M63" i="9" s="1"/>
  <c r="L65" i="9"/>
  <c r="M65" i="9" s="1"/>
  <c r="L67" i="9"/>
  <c r="M67" i="9" s="1"/>
  <c r="L66" i="9"/>
  <c r="M66" i="9" s="1"/>
  <c r="E118" i="9"/>
  <c r="E4" i="52" s="1"/>
  <c r="B48" i="72" s="1"/>
  <c r="B20" i="72"/>
  <c r="D6" i="53"/>
  <c r="B22" i="72" s="1"/>
  <c r="D5" i="74"/>
  <c r="C5" i="74"/>
  <c r="D122" i="9"/>
  <c r="H108" i="9"/>
  <c r="D15" i="53" s="1"/>
  <c r="B31" i="72" s="1"/>
  <c r="D13" i="53"/>
  <c r="D53" i="9"/>
  <c r="D55" i="9"/>
  <c r="M53" i="9" s="1"/>
  <c r="C64" i="9"/>
  <c r="C63" i="9" s="1"/>
  <c r="C67" i="9" s="1"/>
  <c r="C93" i="9"/>
  <c r="C86" i="9" s="1"/>
  <c r="C72" i="9"/>
  <c r="D52" i="9"/>
  <c r="C85" i="9"/>
  <c r="C78" i="9"/>
  <c r="C73" i="9" s="1"/>
  <c r="D6" i="74"/>
  <c r="C7" i="74" l="1"/>
  <c r="D7" i="74"/>
  <c r="M69" i="9"/>
  <c r="N69" i="9" s="1"/>
  <c r="D14" i="53"/>
  <c r="B32" i="72" s="1"/>
  <c r="B30" i="72"/>
  <c r="C95" i="9"/>
  <c r="C6" i="74"/>
  <c r="D8" i="52"/>
  <c r="D123" i="9"/>
  <c r="D9" i="52" s="1"/>
  <c r="D59" i="9"/>
  <c r="M55" i="9" s="1"/>
  <c r="C68" i="9"/>
  <c r="D54" i="9" s="1"/>
  <c r="D48" i="9" s="1"/>
  <c r="M52" i="9" s="1"/>
  <c r="C79" i="9"/>
  <c r="C80" i="9" l="1"/>
  <c r="E80" i="9" s="1"/>
  <c r="E81" i="9" s="1"/>
  <c r="C96" i="9"/>
  <c r="E96" i="9" s="1"/>
  <c r="E97" i="9" s="1"/>
  <c r="C81" i="9" l="1"/>
  <c r="C97" i="9"/>
  <c r="D58" i="9" l="1"/>
  <c r="M54" i="9" s="1"/>
  <c r="N57" i="9" s="1"/>
  <c r="N59" i="9" s="1"/>
  <c r="H111" i="9" s="1"/>
  <c r="D126" i="9" s="1"/>
  <c r="N58" i="9" l="1"/>
  <c r="N61" i="9"/>
  <c r="H112" i="9" s="1"/>
  <c r="D21" i="53" s="1"/>
  <c r="B39" i="72" s="1"/>
  <c r="N60" i="9"/>
  <c r="B8" i="74"/>
  <c r="D8" i="74" s="1"/>
  <c r="P57" i="9"/>
  <c r="D19" i="53"/>
  <c r="D20" i="53" s="1"/>
  <c r="B40" i="72" s="1"/>
  <c r="D127" i="9"/>
  <c r="D13" i="52" s="1"/>
  <c r="D12" i="52"/>
  <c r="C8" i="74" l="1"/>
  <c r="B38"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B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B00-000002000000}">
      <text>
        <r>
          <rPr>
            <sz val="11"/>
            <color indexed="81"/>
            <rFont val="宋体"/>
            <family val="3"/>
            <charset val="134"/>
          </rPr>
          <t xml:space="preserve">录入层数，将对应的结果录入至左侧相应层的楼层修正系数单元格中
</t>
        </r>
      </text>
    </comment>
    <comment ref="C16" authorId="1" shapeId="0" xr:uid="{00000000-0006-0000-2B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B00-000004000000}">
      <text>
        <r>
          <rPr>
            <sz val="12"/>
            <color indexed="81"/>
            <rFont val="宋体"/>
            <family val="3"/>
            <charset val="134"/>
          </rPr>
          <t>1.05~1.1</t>
        </r>
        <r>
          <rPr>
            <sz val="9"/>
            <color indexed="81"/>
            <rFont val="宋体"/>
            <family val="3"/>
            <charset val="134"/>
          </rPr>
          <t xml:space="preserve">
</t>
        </r>
      </text>
    </comment>
    <comment ref="E16" authorId="1" shapeId="0" xr:uid="{00000000-0006-0000-2B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B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B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B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B00-000009000000}">
      <text>
        <r>
          <rPr>
            <sz val="9"/>
            <color indexed="81"/>
            <rFont val="宋体"/>
            <family val="3"/>
            <charset val="134"/>
          </rPr>
          <t xml:space="preserve">需在此处填写剩余土地年限
</t>
        </r>
      </text>
    </comment>
    <comment ref="C111" authorId="0" shapeId="0" xr:uid="{00000000-0006-0000-2B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B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B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B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B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B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B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B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B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B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B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B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B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300-00000300000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<sst xmlns="http://schemas.openxmlformats.org/spreadsheetml/2006/main" count="8080" uniqueCount="3545">
  <si>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</si>
  <si>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</si>
  <si>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</si>
  <si>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</si>
  <si>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</si>
  <si>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</si>
  <si>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</si>
  <si>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</si>
  <si>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</si>
  <si>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</si>
  <si>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</si>
  <si>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</si>
  <si>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</si>
  <si>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</si>
  <si>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</si>
  <si>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</si>
  <si>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</si>
  <si>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</si>
  <si>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</si>
  <si>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</si>
  <si>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</si>
  <si>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</si>
  <si>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</si>
  <si>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</si>
  <si>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</si>
  <si>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</si>
  <si>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</si>
  <si>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</si>
  <si>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</si>
  <si>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</si>
  <si>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</si>
  <si>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</si>
  <si>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</si>
  <si>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</si>
  <si>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</si>
  <si>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</si>
  <si>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</si>
  <si>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</si>
  <si>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</si>
  <si>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</si>
  <si>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</si>
  <si>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</si>
  <si>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</si>
  <si>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</si>
  <si>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</si>
  <si>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</si>
  <si>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</si>
  <si>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</si>
  <si>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</si>
  <si>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</si>
  <si>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</si>
  <si>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</si>
  <si>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</si>
  <si>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</si>
  <si>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</si>
  <si>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</si>
  <si>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</si>
  <si>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</si>
  <si>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</si>
  <si>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</si>
  <si>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</si>
  <si>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</si>
  <si>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</si>
  <si>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</si>
  <si>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</si>
  <si>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</si>
  <si>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</si>
  <si>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</si>
  <si>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</si>
  <si>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</si>
  <si>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</si>
  <si>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</si>
  <si>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</si>
  <si>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</si>
  <si>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</si>
  <si>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</si>
  <si>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</si>
  <si>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</si>
  <si>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</si>
  <si>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</si>
  <si>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</si>
  <si>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</si>
  <si>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</si>
  <si>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</si>
  <si>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</si>
  <si>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</si>
  <si>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</si>
  <si>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</si>
  <si>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</si>
  <si>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</si>
  <si>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</si>
  <si>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</si>
  <si>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</si>
  <si>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</si>
  <si>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</si>
  <si>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</si>
  <si>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</si>
  <si>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</si>
  <si>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</si>
  <si>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</si>
  <si>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</si>
  <si>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</si>
  <si>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</si>
  <si>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</si>
  <si>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</si>
  <si>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</si>
  <si>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</si>
  <si>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</si>
  <si>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</si>
  <si>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</si>
  <si>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</si>
  <si>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</si>
  <si>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</si>
  <si>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</si>
  <si>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</si>
  <si>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</si>
  <si>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</si>
  <si>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</si>
  <si>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</si>
  <si>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</si>
  <si>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</si>
  <si>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</si>
  <si>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</si>
  <si>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</si>
  <si>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</si>
  <si>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</si>
  <si>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</si>
  <si>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</si>
  <si>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</si>
  <si>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</si>
  <si>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</si>
  <si>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</si>
  <si>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</si>
  <si>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</si>
  <si>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</si>
  <si>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</si>
  <si>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</si>
  <si>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</si>
  <si>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</si>
  <si>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</si>
  <si>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</si>
  <si>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</si>
  <si>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</si>
  <si>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</si>
  <si>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</si>
  <si>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</si>
  <si>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</si>
  <si>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</si>
  <si>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</si>
  <si>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</si>
  <si>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</si>
  <si>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</si>
  <si>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</si>
  <si>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</si>
  <si>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</si>
  <si>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</si>
  <si>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</si>
  <si>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</si>
  <si>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</si>
  <si>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</si>
  <si>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</si>
  <si>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</si>
  <si>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</si>
  <si>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</si>
  <si>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</si>
  <si>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</si>
  <si>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</si>
  <si>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</si>
  <si>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</si>
  <si>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</si>
  <si>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</si>
  <si>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</si>
  <si>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</si>
  <si>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</si>
  <si>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</si>
  <si>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</si>
  <si>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</si>
  <si>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</si>
  <si>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</si>
  <si>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</si>
  <si>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</si>
  <si>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</si>
  <si>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</si>
  <si>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</si>
  <si>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</si>
  <si>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</si>
  <si>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</si>
  <si>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</si>
  <si>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</si>
  <si>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</si>
  <si>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</si>
  <si>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</si>
  <si>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</si>
  <si>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</si>
  <si>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</si>
  <si>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</si>
  <si>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</si>
  <si>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</si>
  <si>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</si>
  <si>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</si>
  <si>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</si>
  <si>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</si>
  <si>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</si>
  <si>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</si>
  <si>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</si>
  <si>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</si>
  <si>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</si>
  <si>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</si>
  <si>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</si>
  <si>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</si>
  <si>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</si>
  <si>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</si>
  <si>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</si>
  <si>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</si>
  <si>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</si>
  <si>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</si>
  <si>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</si>
  <si>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</si>
  <si>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</si>
  <si>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</si>
  <si>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</si>
  <si>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</si>
  <si>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</si>
  <si>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</si>
  <si>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</si>
  <si>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</si>
  <si>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</si>
  <si>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</si>
  <si>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</si>
  <si>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</si>
  <si>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</si>
  <si>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</si>
  <si>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</si>
  <si>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</si>
  <si>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</si>
  <si>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</si>
  <si>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</si>
  <si>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</si>
  <si>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</si>
  <si>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</si>
  <si>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</si>
  <si>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</si>
  <si>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</si>
  <si>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</si>
  <si>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</si>
  <si>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</si>
  <si>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</si>
  <si>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</si>
  <si>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</si>
  <si>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</si>
  <si>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</si>
  <si>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</si>
  <si>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</si>
  <si>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</si>
  <si>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</si>
  <si>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</si>
  <si>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</si>
  <si>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</si>
  <si>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</si>
  <si>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</si>
  <si>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</si>
  <si>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</si>
  <si>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</si>
  <si>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</si>
  <si>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</si>
  <si>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</si>
  <si>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</si>
  <si>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</si>
  <si>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</si>
  <si>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</si>
  <si>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</si>
  <si>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</si>
  <si>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</si>
  <si>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</si>
  <si>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</si>
  <si>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</si>
  <si>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</si>
  <si>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</si>
  <si>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</si>
  <si>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</si>
  <si>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</si>
  <si>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</si>
  <si>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</si>
  <si>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</si>
  <si>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</si>
  <si>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</si>
  <si>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</si>
  <si>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</si>
  <si>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</si>
  <si>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</si>
  <si>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</si>
  <si>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</si>
  <si>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</si>
  <si>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</si>
  <si>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</si>
  <si>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</si>
  <si>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</si>
  <si>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</si>
  <si>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</si>
  <si>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</si>
  <si>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</si>
  <si>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</si>
  <si>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</si>
  <si>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</si>
  <si>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</si>
  <si>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</si>
  <si>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</si>
  <si>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</si>
  <si>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</si>
  <si>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</si>
  <si>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</si>
  <si>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</si>
  <si>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</si>
  <si>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</si>
  <si>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</si>
  <si>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</si>
  <si>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</si>
  <si>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</si>
  <si>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</si>
  <si>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</si>
  <si>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</si>
  <si>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</si>
  <si>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</si>
  <si>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</si>
  <si>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</si>
  <si>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</si>
  <si>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</si>
  <si>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</si>
  <si>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</si>
  <si>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</si>
  <si>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</si>
  <si>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</si>
  <si>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</si>
  <si>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</si>
  <si>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</si>
  <si>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</si>
  <si>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</si>
  <si>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</si>
  <si>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</si>
  <si>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</si>
  <si>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</si>
  <si>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</si>
  <si>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</si>
  <si>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</si>
  <si>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</si>
  <si>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</si>
  <si>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</si>
  <si>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</si>
  <si>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</si>
  <si>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</si>
  <si>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</si>
  <si>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</si>
  <si>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</si>
  <si>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</si>
  <si>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</si>
  <si>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</si>
  <si>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</si>
  <si>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</si>
  <si>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</si>
  <si>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</si>
  <si>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</si>
  <si>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</si>
  <si>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</si>
  <si>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</si>
  <si>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</si>
  <si>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</si>
  <si>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</si>
  <si>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</si>
  <si>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</si>
  <si>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</si>
  <si>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</si>
  <si>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</si>
  <si>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</si>
  <si>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</si>
  <si>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</si>
  <si>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</si>
  <si>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</si>
  <si>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</si>
  <si>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</si>
  <si>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</si>
  <si>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</si>
  <si>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</si>
  <si>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</si>
  <si>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</si>
  <si>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</si>
  <si>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</si>
  <si>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</si>
  <si>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</si>
  <si>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</si>
  <si>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</si>
  <si>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</si>
  <si>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</si>
  <si>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</si>
  <si>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</si>
  <si>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</si>
  <si>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</si>
  <si>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</si>
  <si>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</si>
  <si>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</si>
  <si>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</si>
  <si>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</si>
  <si>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</si>
  <si>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</si>
  <si>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</si>
  <si>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</si>
  <si>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</si>
  <si>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</si>
  <si>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</si>
  <si>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</si>
  <si>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</si>
  <si>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</si>
  <si>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</si>
  <si>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</si>
  <si>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</si>
  <si>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</si>
  <si>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</si>
  <si>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</si>
  <si>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</si>
  <si>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</si>
  <si>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</si>
  <si>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</si>
  <si>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</si>
  <si>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</si>
  <si>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</si>
  <si>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</si>
  <si>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</si>
  <si>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</si>
  <si>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</si>
  <si>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</si>
  <si>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</si>
  <si>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</si>
  <si>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</si>
  <si>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</si>
  <si>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</si>
  <si>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</si>
  <si>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</si>
  <si>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</si>
  <si>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</si>
  <si>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</si>
  <si>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</si>
  <si>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</si>
  <si>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</si>
  <si>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</si>
  <si>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</si>
  <si>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</si>
  <si>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</si>
  <si>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</si>
  <si>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</si>
  <si>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</si>
  <si>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</si>
  <si>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</si>
  <si>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</si>
  <si>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</si>
  <si>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</si>
  <si>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</si>
  <si>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</si>
  <si>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</si>
  <si>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</si>
  <si>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</si>
  <si>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</si>
  <si>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</si>
  <si>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</si>
  <si>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</si>
  <si>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</si>
  <si>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</si>
  <si>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</si>
  <si>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</si>
  <si>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</si>
  <si>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</si>
  <si>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</si>
  <si>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</si>
  <si>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</si>
  <si>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</si>
  <si>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</si>
  <si>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</si>
  <si>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</si>
  <si>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</si>
  <si>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</si>
  <si>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</si>
  <si>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</si>
  <si>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</si>
  <si>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</si>
  <si>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</si>
  <si>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</si>
  <si>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</si>
  <si>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</si>
  <si>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</si>
  <si>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</si>
  <si>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</si>
  <si>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</si>
  <si>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</si>
  <si>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</si>
  <si>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</si>
  <si>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</si>
  <si>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</si>
  <si>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</si>
  <si>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</si>
  <si>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</si>
  <si>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</si>
  <si>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</si>
  <si>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</si>
  <si>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</si>
  <si>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</si>
  <si>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</si>
  <si>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</si>
  <si>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</si>
  <si>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</si>
  <si>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</si>
  <si>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</si>
  <si>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</si>
  <si>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</si>
  <si>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</si>
  <si>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</si>
  <si>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</si>
  <si>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</si>
  <si>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</si>
  <si>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</si>
  <si>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</si>
  <si>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</si>
  <si>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</si>
  <si>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</si>
  <si>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</si>
  <si>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</si>
  <si>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</si>
  <si>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</si>
  <si>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</si>
  <si>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</si>
  <si>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</si>
  <si>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</si>
  <si>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</si>
  <si>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</si>
  <si>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</si>
  <si>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</si>
  <si>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</si>
  <si>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</si>
  <si>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</si>
  <si>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</si>
  <si>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</si>
  <si>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</si>
  <si>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</si>
  <si>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</si>
  <si>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</si>
  <si>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</si>
  <si>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</si>
  <si>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</si>
  <si>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</si>
  <si>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</si>
  <si>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</si>
  <si>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</si>
  <si>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</si>
  <si>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</si>
  <si>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</si>
  <si>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</si>
  <si>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</si>
  <si>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</si>
  <si>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</si>
  <si>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</si>
  <si>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</si>
  <si>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</si>
  <si>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</si>
  <si>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</si>
  <si>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</si>
  <si>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</si>
  <si>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</si>
  <si>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</si>
  <si>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</si>
  <si>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</si>
  <si>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</si>
  <si>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</si>
  <si>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</si>
  <si>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</si>
  <si>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</si>
  <si>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</si>
  <si>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</si>
  <si>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</si>
  <si>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</si>
  <si>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</si>
  <si>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</si>
  <si>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</si>
  <si>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</si>
  <si>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</si>
  <si>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</si>
  <si>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</si>
  <si>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</si>
  <si>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</si>
  <si>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</si>
  <si>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</si>
  <si>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</si>
  <si>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</si>
  <si>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</si>
  <si>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</si>
  <si>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</si>
  <si>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</si>
  <si>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</si>
  <si>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</si>
  <si>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</si>
  <si>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</si>
  <si>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</si>
  <si>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</si>
  <si>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</si>
  <si>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</si>
  <si>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</si>
  <si>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</si>
  <si>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</si>
  <si>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</si>
  <si>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</si>
  <si>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</si>
  <si>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</si>
  <si>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</si>
  <si>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</si>
  <si>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</si>
  <si>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</si>
  <si>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</si>
  <si>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</si>
  <si>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</si>
  <si>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</si>
  <si>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</si>
  <si>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</si>
  <si>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</si>
  <si>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</si>
  <si>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</si>
  <si>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</si>
  <si>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</si>
  <si>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</si>
  <si>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</si>
  <si>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</si>
  <si>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</si>
  <si>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</si>
  <si>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</si>
  <si>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</si>
  <si>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</si>
  <si>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</si>
  <si>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</si>
  <si>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</si>
  <si>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</si>
  <si>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</si>
  <si>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</si>
  <si>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</si>
  <si>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</si>
  <si>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</si>
  <si>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</si>
  <si>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</si>
  <si>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</si>
  <si>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</si>
  <si>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</si>
  <si>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</si>
  <si>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</si>
  <si>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</si>
  <si>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</si>
  <si>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</si>
  <si>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</si>
  <si>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</si>
  <si>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</si>
  <si>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</si>
  <si>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</si>
  <si>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</si>
  <si>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</si>
  <si>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</si>
  <si>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</si>
  <si>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</si>
  <si>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</si>
  <si>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</si>
  <si>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</si>
  <si>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</si>
  <si>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</si>
  <si>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</si>
  <si>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</si>
  <si>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</si>
  <si>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</si>
  <si>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</si>
  <si>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</si>
  <si>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</si>
  <si>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</si>
  <si>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</si>
  <si>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</si>
  <si>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</si>
  <si>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</si>
  <si>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</si>
  <si>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</si>
  <si>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</si>
  <si>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</si>
  <si>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</si>
  <si>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</si>
  <si>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</si>
  <si>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</si>
  <si>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</si>
  <si>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</si>
  <si>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</si>
  <si>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</si>
  <si>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</si>
  <si>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</si>
  <si>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</si>
  <si>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</si>
  <si>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</si>
  <si>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</si>
  <si>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</si>
  <si>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</si>
  <si>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</si>
  <si>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</si>
  <si>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</si>
  <si>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</si>
  <si>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</si>
  <si>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</si>
  <si>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</si>
  <si>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</si>
  <si>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</si>
  <si>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</si>
  <si>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</si>
  <si>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</si>
  <si>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</si>
  <si>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</si>
  <si>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</si>
  <si>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</si>
  <si>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</si>
  <si>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</si>
  <si>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</si>
  <si>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</si>
  <si>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</si>
  <si>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</si>
  <si>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</si>
  <si>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</si>
  <si>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</si>
  <si>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</si>
  <si>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</si>
  <si>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</si>
  <si>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</si>
  <si>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</si>
  <si>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</si>
  <si>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</si>
  <si>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</si>
  <si>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</si>
  <si>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</si>
  <si>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</si>
  <si>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</si>
  <si>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</si>
  <si>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</si>
  <si>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</si>
  <si>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</si>
  <si>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</si>
  <si>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</si>
  <si>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</si>
  <si>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</si>
  <si>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</si>
  <si>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</si>
  <si>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</si>
  <si>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</si>
  <si>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</si>
  <si>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</si>
  <si>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</si>
  <si>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</si>
  <si>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</si>
  <si>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</si>
  <si>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</si>
  <si>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</si>
  <si>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</si>
  <si>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</si>
  <si>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</si>
  <si>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</si>
  <si>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</si>
  <si>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</si>
  <si>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</si>
  <si>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</si>
  <si>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</si>
  <si>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</si>
  <si>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</si>
  <si>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</si>
  <si>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</si>
  <si>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</si>
  <si>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</si>
  <si>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</si>
  <si>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</si>
  <si>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</si>
  <si>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</si>
  <si>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</si>
  <si>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</si>
  <si>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</si>
  <si>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</si>
  <si>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</si>
  <si>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</si>
  <si>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</si>
  <si>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</si>
  <si>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</si>
  <si>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</si>
  <si>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</si>
  <si>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</si>
  <si>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</si>
  <si>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</si>
  <si>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</si>
  <si>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</si>
  <si>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</si>
  <si>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</si>
  <si>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</si>
  <si>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</si>
  <si>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</si>
  <si>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</si>
  <si>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</si>
  <si>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</si>
  <si>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</si>
  <si>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</si>
  <si>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</si>
  <si>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</si>
  <si>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</si>
  <si>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</si>
  <si>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</si>
  <si>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</si>
  <si>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</si>
  <si>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</si>
  <si>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</si>
  <si>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</si>
  <si>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</si>
  <si>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</si>
  <si>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</si>
  <si>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</si>
  <si>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</si>
  <si>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</si>
  <si>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</si>
  <si>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</si>
  <si>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</si>
  <si>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</si>
  <si>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</si>
  <si>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</si>
  <si>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</si>
  <si>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</si>
  <si>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</si>
  <si>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</si>
  <si>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</si>
  <si>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</si>
  <si>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</si>
  <si>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</si>
  <si>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</si>
  <si>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</si>
  <si>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</si>
  <si>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</si>
  <si>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</si>
  <si>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</si>
  <si>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</si>
  <si>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</si>
  <si>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</si>
  <si>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</si>
  <si>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</si>
  <si>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</si>
  <si>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</si>
  <si>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</si>
  <si>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</si>
  <si>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</si>
  <si>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</si>
  <si>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</si>
  <si>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</si>
  <si>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</si>
  <si>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</si>
  <si>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</si>
  <si>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</si>
  <si>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</si>
  <si>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</si>
  <si>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</si>
  <si>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</si>
  <si>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</si>
  <si>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</si>
  <si>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</si>
  <si>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</si>
  <si>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</si>
  <si>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</si>
  <si>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</si>
  <si>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</si>
  <si>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</si>
  <si>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</si>
  <si>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</si>
  <si>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</si>
  <si>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</si>
  <si>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</si>
  <si>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</si>
  <si>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</si>
  <si>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</si>
  <si>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</si>
  <si>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</si>
  <si>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</si>
  <si>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</si>
  <si>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</si>
  <si>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</si>
  <si>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</si>
  <si>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</si>
  <si>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</si>
  <si>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</si>
  <si>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</si>
  <si>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</si>
  <si>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</si>
  <si>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</si>
  <si>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</si>
  <si>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</si>
  <si>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</si>
  <si>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</si>
  <si>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</si>
  <si>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</si>
  <si>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</si>
  <si>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</si>
  <si>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</si>
  <si>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</si>
  <si>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</si>
  <si>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</si>
  <si>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</si>
  <si>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</si>
  <si>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</si>
  <si>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</si>
  <si>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</si>
  <si>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</si>
  <si>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</si>
  <si>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</si>
  <si>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</si>
  <si>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</si>
  <si>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</si>
  <si>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</si>
  <si>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</si>
  <si>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</si>
  <si>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</si>
  <si>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</si>
  <si>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</si>
  <si>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</si>
  <si>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</si>
  <si>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</si>
  <si>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</si>
  <si>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</si>
  <si>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</si>
  <si>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</si>
  <si>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</si>
  <si>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</si>
  <si>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</si>
  <si>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</si>
  <si>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</si>
  <si>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</si>
  <si>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</si>
  <si>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</si>
  <si>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</si>
  <si>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</si>
  <si>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</si>
  <si>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</si>
  <si>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</si>
  <si>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</si>
  <si>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</si>
  <si>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</si>
  <si>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</si>
  <si>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</si>
  <si>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</si>
  <si>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</si>
  <si>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</si>
  <si>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</si>
  <si>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</si>
  <si>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</si>
  <si>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</si>
  <si>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</si>
  <si>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</si>
  <si>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</si>
  <si>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</si>
  <si>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</si>
  <si>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</si>
  <si>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</si>
  <si>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</si>
  <si>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</si>
  <si>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</si>
  <si>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</si>
  <si>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</si>
  <si>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</si>
  <si>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</si>
  <si>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</si>
  <si>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</si>
  <si>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</si>
  <si>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</si>
  <si>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</si>
  <si>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</si>
  <si>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</si>
  <si>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</si>
  <si>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</si>
  <si>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</si>
  <si>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</si>
  <si>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</si>
  <si>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</si>
  <si>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</si>
  <si>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</si>
  <si>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</si>
  <si>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</si>
  <si>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</si>
  <si>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</si>
  <si>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</si>
  <si>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</si>
  <si>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</si>
  <si>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</si>
  <si>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</si>
  <si>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</si>
  <si>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</si>
  <si>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</si>
  <si>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</si>
  <si>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</si>
  <si>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</si>
  <si>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</si>
  <si>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</si>
  <si>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</si>
  <si>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</si>
  <si>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</si>
  <si>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</si>
  <si>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</si>
  <si>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</si>
  <si>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</si>
  <si>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</si>
  <si>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</si>
  <si>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</si>
  <si>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</si>
  <si>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</si>
  <si>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</si>
  <si>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</si>
  <si>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</si>
  <si>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</si>
  <si>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</si>
  <si>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</si>
  <si>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</si>
  <si>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</si>
  <si>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</si>
  <si>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</si>
  <si>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</si>
  <si>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</si>
  <si>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</si>
  <si>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</si>
  <si>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</si>
  <si>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</si>
  <si>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</si>
  <si>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</si>
  <si>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</si>
  <si>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</si>
  <si>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</si>
  <si>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</si>
  <si>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</si>
  <si>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</si>
  <si>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</si>
  <si>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</si>
  <si>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</si>
  <si>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</si>
  <si>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</si>
  <si>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</si>
  <si>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</si>
  <si>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</si>
  <si>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</si>
  <si>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</si>
  <si>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</si>
  <si>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</si>
  <si>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</si>
  <si>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</si>
  <si>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</si>
  <si>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</si>
  <si>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</si>
  <si>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</si>
  <si>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</si>
  <si>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</si>
  <si>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</si>
  <si>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</si>
  <si>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</si>
  <si>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</si>
  <si>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</si>
  <si>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</si>
  <si>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</si>
  <si>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</si>
  <si>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</si>
  <si>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</si>
  <si>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</si>
  <si>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</si>
  <si>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</si>
  <si>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</si>
  <si>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</si>
  <si>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</si>
  <si>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</si>
  <si>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</si>
  <si>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</si>
  <si>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</si>
  <si>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</si>
  <si>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</si>
  <si>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</si>
  <si>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</si>
  <si>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</si>
  <si>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</si>
  <si>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</si>
  <si>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</si>
  <si>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</si>
  <si>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</si>
  <si>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</si>
  <si>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</si>
  <si>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</si>
  <si>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</si>
  <si>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</si>
  <si>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</si>
  <si>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</si>
  <si>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</si>
  <si>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</si>
  <si>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</si>
  <si>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</si>
  <si>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</si>
  <si>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</si>
  <si>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</si>
  <si>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</si>
  <si>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</si>
  <si>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</si>
  <si>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</si>
  <si>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</si>
  <si>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</si>
  <si>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</si>
  <si>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</si>
  <si>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</si>
  <si>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</si>
  <si>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</si>
  <si>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</si>
  <si>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</si>
  <si>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</si>
  <si>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</si>
  <si>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</si>
  <si>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</si>
  <si>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</si>
  <si>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</si>
  <si>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</si>
  <si>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</si>
  <si>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</si>
  <si>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</si>
  <si>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</si>
  <si>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</si>
  <si>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</si>
  <si>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</si>
  <si>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</si>
  <si>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</si>
  <si>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</si>
  <si>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</si>
  <si>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</si>
  <si>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</si>
  <si>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</si>
  <si>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</si>
  <si>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</si>
  <si>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</si>
  <si>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</si>
  <si>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</si>
  <si>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</si>
  <si>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</si>
  <si>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</si>
  <si>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</si>
  <si>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</si>
  <si>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</si>
  <si>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</si>
  <si>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</si>
  <si>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</si>
  <si>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</si>
  <si>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</si>
  <si>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</si>
  <si>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</si>
  <si>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</si>
  <si>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</si>
  <si>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</si>
  <si>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</si>
  <si>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</si>
  <si>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</si>
  <si>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</si>
  <si>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</si>
  <si>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</si>
  <si>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</si>
  <si>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</si>
  <si>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</si>
  <si>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</si>
  <si>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</si>
  <si>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</si>
  <si>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</si>
  <si>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</si>
  <si>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</si>
  <si>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</si>
  <si>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</si>
  <si>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</si>
  <si>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</si>
  <si>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</si>
  <si>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</si>
  <si>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</si>
  <si>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</si>
  <si>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</si>
  <si>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</si>
  <si>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</si>
  <si>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</si>
  <si>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</si>
  <si>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</si>
  <si>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</si>
  <si>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</si>
  <si>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</si>
  <si>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</si>
  <si>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</si>
  <si>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</si>
  <si>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</si>
  <si>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</si>
  <si>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</si>
  <si>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</si>
  <si>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</si>
  <si>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</si>
  <si>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</si>
  <si>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</si>
  <si>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</si>
  <si>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</si>
  <si>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</si>
  <si>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</si>
  <si>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</si>
  <si>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</si>
  <si>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</si>
  <si>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</si>
  <si>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</si>
  <si>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</si>
  <si>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</si>
  <si>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</si>
  <si>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</si>
  <si>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</si>
  <si>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</si>
  <si>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</si>
  <si>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</si>
  <si>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</si>
  <si>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</si>
  <si>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</si>
  <si>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</si>
  <si>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</si>
  <si>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</si>
  <si>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</si>
  <si>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</si>
  <si>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</si>
  <si>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</si>
  <si>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</si>
  <si>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</si>
  <si>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</si>
  <si>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</si>
  <si>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</si>
  <si>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</si>
  <si>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</si>
  <si>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</si>
  <si>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</si>
  <si>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</si>
  <si>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</si>
  <si>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</si>
  <si>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</si>
  <si>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</si>
  <si>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</si>
  <si>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</si>
  <si>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</si>
  <si>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</si>
  <si>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</si>
  <si>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</si>
  <si>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</si>
  <si>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</si>
  <si>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</si>
  <si>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</si>
  <si>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</si>
  <si>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</si>
  <si>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</si>
  <si>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</si>
  <si>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</si>
  <si>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</si>
  <si>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</si>
  <si>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</si>
  <si>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</si>
  <si>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</si>
  <si>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</si>
  <si>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</si>
  <si>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</si>
  <si>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</si>
  <si>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</si>
  <si>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</si>
  <si>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</si>
  <si>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</si>
  <si>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</si>
  <si>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</si>
  <si>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</si>
  <si>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</si>
  <si>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</si>
  <si>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</si>
  <si>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</si>
  <si>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</si>
  <si>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</si>
  <si>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</si>
  <si>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</si>
  <si>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</si>
  <si>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</si>
  <si>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</si>
  <si>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</si>
  <si>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</si>
  <si>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</si>
  <si>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</si>
  <si>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</si>
  <si>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</si>
  <si>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</si>
  <si>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</si>
  <si>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</si>
  <si>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</si>
  <si>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</si>
  <si>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</si>
  <si>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</si>
  <si>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</si>
  <si>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</si>
  <si>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</si>
  <si>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</si>
  <si>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</si>
  <si>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</si>
  <si>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</si>
  <si>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</si>
  <si>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</si>
  <si>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</si>
  <si>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</si>
  <si>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</si>
  <si>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</si>
  <si>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</si>
  <si>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</si>
  <si>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</si>
  <si>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</si>
  <si>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</si>
  <si>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</si>
  <si>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</si>
  <si>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</si>
  <si>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</si>
  <si>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</si>
  <si>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</si>
  <si>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</si>
  <si>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</si>
  <si>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</si>
  <si>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</si>
  <si>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</si>
  <si>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</si>
  <si>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</si>
  <si>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</si>
  <si>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</si>
  <si>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</si>
  <si>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</si>
  <si>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</si>
  <si>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</si>
  <si>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</si>
  <si>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</si>
  <si>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</si>
  <si>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</si>
  <si>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</si>
  <si>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</si>
  <si>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</si>
  <si>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</si>
  <si>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</si>
  <si>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</si>
  <si>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</si>
  <si>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</si>
  <si>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</si>
  <si>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</si>
  <si>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</si>
  <si>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</si>
  <si>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</si>
  <si>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</si>
  <si>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</si>
  <si>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</si>
  <si>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</si>
  <si>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</si>
  <si>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</si>
  <si>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</si>
  <si>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</si>
  <si>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</si>
  <si>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</si>
  <si>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</si>
  <si>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</si>
  <si>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</si>
  <si>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</si>
  <si>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</si>
  <si>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</si>
  <si>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</si>
  <si>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</si>
  <si>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</si>
  <si>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</si>
  <si>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</si>
  <si>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</si>
  <si>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</si>
  <si>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</si>
  <si>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</si>
  <si>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</si>
  <si>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</si>
  <si>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</si>
  <si>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</si>
  <si>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</si>
  <si>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</si>
  <si>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</si>
  <si>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</si>
  <si>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</si>
  <si>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</si>
  <si>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</si>
  <si>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</si>
  <si>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</si>
  <si>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</si>
  <si>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</si>
  <si>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</si>
  <si>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</si>
  <si>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</si>
  <si>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</si>
  <si>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</si>
  <si>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</si>
  <si>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</si>
  <si>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</si>
  <si>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</si>
  <si>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</si>
  <si>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</si>
  <si>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</si>
  <si>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</si>
  <si>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</si>
  <si>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</si>
  <si>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</si>
  <si>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</si>
  <si>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</si>
  <si>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</si>
  <si>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</si>
  <si>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</si>
  <si>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</si>
  <si>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</si>
  <si>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</si>
  <si>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</si>
  <si>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</si>
  <si>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</si>
  <si>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</si>
  <si>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</si>
  <si>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</si>
  <si>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</si>
  <si>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</si>
  <si>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</si>
  <si>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</si>
  <si>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</si>
  <si>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</si>
  <si>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</si>
  <si>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</si>
  <si>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</si>
  <si>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</si>
  <si>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</si>
  <si>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</si>
  <si>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</si>
  <si>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</si>
  <si>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</si>
  <si>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</si>
  <si>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</si>
  <si>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</si>
  <si>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</si>
  <si>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</si>
  <si>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</si>
  <si>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</si>
  <si>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</si>
  <si>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</si>
  <si>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</si>
  <si>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</si>
  <si>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</si>
  <si>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</si>
  <si>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</si>
  <si>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</si>
  <si>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</si>
  <si>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</si>
  <si>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</si>
  <si>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</si>
  <si>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</si>
  <si>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</si>
  <si>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</si>
  <si>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</si>
  <si>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</si>
  <si>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</si>
  <si>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</si>
  <si>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</si>
  <si>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</si>
  <si>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</si>
  <si>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</si>
  <si>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</si>
  <si>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</si>
  <si>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</si>
  <si>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</si>
  <si>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</si>
  <si>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</si>
  <si>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</si>
  <si>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</si>
  <si>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</si>
  <si>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</si>
  <si>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</si>
  <si>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</si>
  <si>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</si>
  <si>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</si>
  <si>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</si>
  <si>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</si>
  <si>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</si>
  <si>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</si>
  <si>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</si>
  <si>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</si>
  <si>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</si>
  <si>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</si>
  <si>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</si>
  <si>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</si>
  <si>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</si>
  <si>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</si>
  <si>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</si>
  <si>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</si>
  <si>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</si>
  <si>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</si>
  <si>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</si>
  <si>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</si>
  <si>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</si>
  <si>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</si>
  <si>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</si>
  <si>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</si>
  <si>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</si>
  <si>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</si>
  <si>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</si>
  <si>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</si>
  <si>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</si>
  <si>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</si>
  <si>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</si>
  <si>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</si>
  <si>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</si>
  <si>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</si>
  <si>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</si>
  <si>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</si>
  <si>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</si>
  <si>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</si>
  <si>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</si>
  <si>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</si>
  <si>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</si>
  <si>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</si>
  <si>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</si>
  <si>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</si>
  <si>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</si>
  <si>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</si>
  <si>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</si>
  <si>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</si>
  <si>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</si>
  <si>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</si>
  <si>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</si>
  <si>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</si>
  <si>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</si>
  <si>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</si>
  <si>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</si>
  <si>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</si>
  <si>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</si>
  <si>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</si>
  <si>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</si>
  <si>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</si>
  <si>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</si>
  <si>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</si>
  <si>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</si>
  <si>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</si>
  <si>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</si>
  <si>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</si>
  <si>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</si>
  <si>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</si>
  <si>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</si>
  <si>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</si>
  <si>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</si>
  <si>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</si>
  <si>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</si>
  <si>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</si>
  <si>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</si>
  <si>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</si>
  <si>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</si>
  <si>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</si>
  <si>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</si>
  <si>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</si>
  <si>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</si>
  <si>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</si>
  <si>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</si>
  <si>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</si>
  <si>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</si>
  <si>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</si>
  <si>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</si>
  <si>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</si>
  <si>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</si>
  <si>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</si>
  <si>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</si>
  <si>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</si>
  <si>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</si>
  <si>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</si>
  <si>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</si>
  <si>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</si>
  <si>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</si>
  <si>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</si>
  <si>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</si>
  <si>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</si>
  <si>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</si>
  <si>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</si>
  <si>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</si>
  <si>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</si>
  <si>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</si>
  <si>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</si>
  <si>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</si>
  <si>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</si>
  <si>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</si>
  <si>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</si>
  <si>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</si>
  <si>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</si>
  <si>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</si>
  <si>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</si>
  <si>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</si>
  <si>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</si>
  <si>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</si>
  <si>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</si>
  <si>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</si>
  <si>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</si>
  <si>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</si>
  <si>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</si>
  <si>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</si>
  <si>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</si>
  <si>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</si>
  <si>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</si>
  <si>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</si>
  <si>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</si>
  <si>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</si>
  <si>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</si>
  <si>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</si>
  <si>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</si>
  <si>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</si>
  <si>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</si>
  <si>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</si>
  <si>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</si>
  <si>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</si>
  <si>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</si>
  <si>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</si>
  <si>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</si>
  <si>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</si>
  <si>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</si>
  <si>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</si>
  <si>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</si>
  <si>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</si>
  <si>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</si>
  <si>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</si>
  <si>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</si>
  <si>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</si>
  <si>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</si>
  <si>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</si>
  <si>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</si>
  <si>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</si>
  <si>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</si>
  <si>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</si>
  <si>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</si>
  <si>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</si>
  <si>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</si>
  <si>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</si>
  <si>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</si>
  <si>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</si>
  <si>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</si>
  <si>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</si>
  <si>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</si>
  <si>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</si>
  <si>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</si>
  <si>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</si>
  <si>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</si>
  <si>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</si>
  <si>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</si>
  <si>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</si>
  <si>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</si>
  <si>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</si>
  <si>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</si>
  <si>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</si>
  <si>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</si>
  <si>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</si>
  <si>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</si>
  <si>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</si>
  <si>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</si>
  <si>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</si>
  <si>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</si>
  <si>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</si>
  <si>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</si>
  <si>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</si>
  <si>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</si>
  <si>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</si>
  <si>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</si>
  <si>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</si>
  <si>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</si>
  <si>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</si>
  <si>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</si>
  <si>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</si>
  <si>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</si>
  <si>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</si>
  <si>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</si>
  <si>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</si>
  <si>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</si>
  <si>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</si>
  <si>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</si>
  <si>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</si>
  <si>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</si>
  <si>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</si>
  <si>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</si>
  <si>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</si>
  <si>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</si>
  <si>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</si>
  <si>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</si>
  <si>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</si>
  <si>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</si>
  <si>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</si>
  <si>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</si>
  <si>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</si>
  <si>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</si>
  <si>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</si>
  <si>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</si>
  <si>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</si>
  <si>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</si>
  <si>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</si>
  <si>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</si>
  <si>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</si>
  <si>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</si>
  <si>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</si>
  <si>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</si>
  <si>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</si>
  <si>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</si>
  <si>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</si>
  <si>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</si>
  <si>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</si>
  <si>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</si>
  <si>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</si>
  <si>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</si>
  <si>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</si>
  <si>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</si>
  <si>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</si>
  <si>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</si>
  <si>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</si>
  <si>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</si>
  <si>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</si>
  <si>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</si>
  <si>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</si>
  <si>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</si>
  <si>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</si>
  <si>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</si>
  <si>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</si>
  <si>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</si>
  <si>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</si>
  <si>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</si>
  <si>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</si>
  <si>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</si>
  <si>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</si>
  <si>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</si>
  <si>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</si>
  <si>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</si>
  <si>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</si>
  <si>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</si>
  <si>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</si>
  <si>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</si>
  <si>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</si>
  <si>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</si>
  <si>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</si>
  <si>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</si>
  <si>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</si>
  <si>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</si>
  <si>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</si>
  <si>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</si>
  <si>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</si>
  <si>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</si>
  <si>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</si>
  <si>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</si>
  <si>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</si>
  <si>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</si>
  <si>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</si>
  <si>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</si>
  <si>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</si>
  <si>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</si>
  <si>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</si>
  <si>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</si>
  <si>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</si>
  <si>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</si>
  <si>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</si>
  <si>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</si>
  <si>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</si>
  <si>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</si>
  <si>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</si>
  <si>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</si>
  <si>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</si>
  <si>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</si>
  <si>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</si>
  <si>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</si>
  <si>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</si>
  <si>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</si>
  <si>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</si>
  <si>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</si>
  <si>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</si>
  <si>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</si>
  <si>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</si>
  <si>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</si>
  <si>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</si>
  <si>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</si>
  <si>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</si>
  <si>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</si>
  <si>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</si>
  <si>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</si>
  <si>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</si>
  <si>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</si>
  <si>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</si>
  <si>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</si>
  <si>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</si>
  <si>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</si>
  <si>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</si>
  <si>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</si>
  <si>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</si>
  <si>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</si>
  <si>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</si>
  <si>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</si>
  <si>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</si>
  <si>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</si>
  <si>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</si>
  <si>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</si>
  <si>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</si>
  <si>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</si>
  <si>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</si>
  <si>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</si>
  <si>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</si>
  <si>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</si>
  <si>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</si>
  <si>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</si>
  <si>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</si>
  <si>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</si>
  <si>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</si>
  <si>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</si>
  <si>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</si>
  <si>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</si>
  <si>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</si>
  <si>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</si>
  <si>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</si>
  <si>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</si>
  <si>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</si>
  <si>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</si>
  <si>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</si>
  <si>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</si>
  <si>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</si>
  <si>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</si>
  <si>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</si>
  <si>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</si>
  <si>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</si>
  <si>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</si>
  <si>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</si>
  <si>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</si>
  <si>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</si>
  <si>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</si>
  <si>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</si>
  <si>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</si>
  <si>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</si>
  <si>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</si>
  <si>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</si>
  <si>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</si>
  <si>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</si>
  <si>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</si>
  <si>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</si>
  <si>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</si>
  <si>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</si>
  <si>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</si>
  <si>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</si>
  <si>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</si>
  <si>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</si>
  <si>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</si>
  <si>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</si>
  <si>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</si>
  <si>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</si>
  <si>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</si>
  <si>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</si>
  <si>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</si>
  <si>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</si>
  <si>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</si>
  <si>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</si>
  <si>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</si>
  <si>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</si>
  <si>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</si>
  <si>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</si>
  <si>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</si>
  <si>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</si>
  <si>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</si>
  <si>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</si>
  <si>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</si>
  <si>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</si>
  <si>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</si>
  <si>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</si>
  <si>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</si>
  <si>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</si>
  <si>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</si>
  <si>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</si>
  <si>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</si>
  <si>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</si>
  <si>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</si>
  <si>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</si>
  <si>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</si>
  <si>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</si>
  <si>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</si>
  <si>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</si>
  <si>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</si>
  <si>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</si>
  <si>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</si>
  <si>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</si>
  <si>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</si>
  <si>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</si>
  <si>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</si>
  <si>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</si>
  <si>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</si>
  <si>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</si>
  <si>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</si>
  <si>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</si>
  <si>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</si>
  <si>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</si>
  <si>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</si>
  <si>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</si>
  <si>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</si>
  <si>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</si>
  <si>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</si>
  <si>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</si>
  <si>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</si>
  <si>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</si>
  <si>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</si>
  <si>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</si>
  <si>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</si>
  <si>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</si>
  <si>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</si>
  <si>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</si>
  <si>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</si>
  <si>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</si>
  <si>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</si>
  <si>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</si>
  <si>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</si>
  <si>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</si>
  <si>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</si>
  <si>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</si>
  <si>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</si>
  <si>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</si>
  <si>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</si>
  <si>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</si>
  <si>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</si>
  <si>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</si>
  <si>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</si>
  <si>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</si>
  <si>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</si>
  <si>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</si>
  <si>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</si>
  <si>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</si>
  <si>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</si>
  <si>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</si>
  <si>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</si>
  <si>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</si>
  <si>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</si>
  <si>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</si>
  <si>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</si>
  <si>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</si>
  <si>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</si>
  <si>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</si>
  <si>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</si>
  <si>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</si>
  <si>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</si>
  <si>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</si>
  <si>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</si>
  <si>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</si>
  <si>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</si>
  <si>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</si>
  <si>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</si>
  <si>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</si>
  <si>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</si>
  <si>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</si>
  <si>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</si>
  <si>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</si>
  <si>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</si>
  <si>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</si>
  <si>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</si>
  <si>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</si>
  <si>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</si>
  <si>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</si>
  <si>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</si>
  <si>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</si>
  <si>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</si>
  <si>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</si>
  <si>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</si>
  <si>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</si>
  <si>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</si>
  <si>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</si>
  <si>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</si>
  <si>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</si>
  <si>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</si>
  <si>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</si>
  <si>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</si>
  <si>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</si>
  <si>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</si>
  <si>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</si>
  <si>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</si>
  <si>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</si>
  <si>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</si>
  <si>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</si>
  <si>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</si>
  <si>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</si>
  <si>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</si>
  <si>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</si>
  <si>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</si>
  <si>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</si>
  <si>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</si>
  <si>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</si>
  <si>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</si>
  <si>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</si>
  <si>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</si>
  <si>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</si>
  <si>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</si>
  <si>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</si>
  <si>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</si>
  <si>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</si>
  <si>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</si>
  <si>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</si>
  <si>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</si>
  <si>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</si>
  <si>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</si>
  <si>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</si>
  <si>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</si>
  <si>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</si>
  <si>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</si>
  <si>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</si>
  <si>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</si>
  <si>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</si>
  <si>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</si>
  <si>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</si>
  <si>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</si>
  <si>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</si>
  <si>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</si>
  <si>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</si>
  <si>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</si>
  <si>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</si>
  <si>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</si>
  <si>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</si>
  <si>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</si>
  <si>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</si>
  <si>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</si>
  <si>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</si>
  <si>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</si>
  <si>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</si>
  <si>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</si>
  <si>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</si>
  <si>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</si>
  <si>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</si>
  <si>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</si>
  <si>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</si>
  <si>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</si>
  <si>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</si>
  <si>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</si>
  <si>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</si>
  <si>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</si>
  <si>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</si>
  <si>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</si>
  <si>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</si>
  <si>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</si>
  <si>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</si>
  <si>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</si>
  <si>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</si>
  <si>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</si>
  <si>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</si>
  <si>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</si>
  <si>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</si>
  <si>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</si>
  <si>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</si>
  <si>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</si>
  <si>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</si>
  <si>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</si>
  <si>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</si>
  <si>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</si>
  <si>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</si>
  <si>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</si>
  <si>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</si>
  <si>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</si>
  <si>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</si>
  <si>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</si>
  <si>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</si>
  <si>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</si>
  <si>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</si>
  <si>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</si>
  <si>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</si>
  <si>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</si>
  <si>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</si>
  <si>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</si>
  <si>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</si>
  <si>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</si>
  <si>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</si>
  <si>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</si>
  <si>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</si>
  <si>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</si>
  <si>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</si>
  <si>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</si>
  <si>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</si>
  <si>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</si>
  <si>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</si>
  <si>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</si>
  <si>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</si>
  <si>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</si>
  <si>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</si>
  <si>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</si>
  <si>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</si>
  <si>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</si>
  <si>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</si>
  <si>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</si>
  <si>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</si>
  <si>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</si>
  <si>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</si>
  <si>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</si>
  <si>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</si>
  <si>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</si>
  <si>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</si>
  <si>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</si>
  <si>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</si>
  <si>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</si>
  <si>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</si>
  <si>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</si>
  <si>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</si>
  <si>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</si>
  <si>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</si>
  <si>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</si>
  <si>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</si>
  <si>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</si>
  <si>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</si>
  <si>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</si>
  <si>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</si>
  <si>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</si>
  <si>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</si>
  <si>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</si>
  <si>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</si>
  <si>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</si>
  <si>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</si>
  <si>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</si>
  <si>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</si>
  <si>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</si>
  <si>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</si>
  <si>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</si>
  <si>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</si>
  <si>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</si>
  <si>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</si>
  <si>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</si>
  <si>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</si>
  <si>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</si>
  <si>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</si>
  <si>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</si>
  <si>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</si>
  <si>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</si>
  <si>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</si>
  <si>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</si>
  <si>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</si>
  <si>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</si>
  <si>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</si>
  <si>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</si>
  <si>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</si>
  <si>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</si>
  <si>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</si>
  <si>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</si>
  <si>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</si>
  <si>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</si>
  <si>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</si>
  <si>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</si>
  <si>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</si>
  <si>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</si>
  <si>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</si>
  <si>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</si>
  <si>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</si>
  <si>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</si>
  <si>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</si>
  <si>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</si>
  <si>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</si>
  <si>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</si>
  <si>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</si>
  <si>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</si>
  <si>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</si>
  <si>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</si>
  <si>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</si>
  <si>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</si>
  <si>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</si>
  <si>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</si>
  <si>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</si>
  <si>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</si>
  <si>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</si>
  <si>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</si>
  <si>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</si>
  <si>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</si>
  <si>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</si>
  <si>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</si>
  <si>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</si>
  <si>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</si>
  <si>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</si>
  <si>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</si>
  <si>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</si>
  <si>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</si>
  <si>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</si>
  <si>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</si>
  <si>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</si>
  <si>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</si>
  <si>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</si>
  <si>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</si>
  <si>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</si>
  <si>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</si>
  <si>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</si>
  <si>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</si>
  <si>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</si>
  <si>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</si>
  <si>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</si>
  <si>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</si>
  <si>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</si>
  <si>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</si>
  <si>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</si>
  <si>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</si>
  <si>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</si>
  <si>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</si>
  <si>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</si>
  <si>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</si>
  <si>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</si>
  <si>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</si>
  <si>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</si>
  <si>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</si>
  <si>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</si>
  <si>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</si>
  <si>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</si>
  <si>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</si>
  <si>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</si>
  <si>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</si>
  <si>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</si>
  <si>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</si>
  <si>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</si>
  <si>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</si>
  <si>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</si>
  <si>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</si>
  <si>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</si>
  <si>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</si>
  <si>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</si>
  <si>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</si>
  <si>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</si>
  <si>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</si>
  <si>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</si>
  <si>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</si>
  <si>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</si>
  <si>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</si>
  <si>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</si>
  <si>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</si>
  <si>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</si>
  <si>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</si>
  <si>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</si>
  <si>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</si>
  <si>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</si>
  <si>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</si>
  <si>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</si>
  <si>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</si>
  <si>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</si>
  <si>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</si>
  <si>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</si>
  <si>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</si>
  <si>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</si>
  <si>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</si>
  <si>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</si>
  <si>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</si>
  <si>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</si>
  <si>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</si>
  <si>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</si>
  <si>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</si>
  <si>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</si>
  <si>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</si>
  <si>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</si>
  <si>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</si>
  <si>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</si>
  <si>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</si>
  <si>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</si>
  <si>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</si>
  <si>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</si>
  <si>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</si>
  <si>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</si>
  <si>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</si>
  <si>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</si>
  <si>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</si>
  <si>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</si>
  <si>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</si>
  <si>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</si>
  <si>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</si>
  <si>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</si>
  <si>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</si>
  <si>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</si>
  <si>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</si>
  <si>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</si>
  <si>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</si>
  <si>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</si>
  <si>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</si>
  <si>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</si>
  <si>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</si>
  <si>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</si>
  <si>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</si>
  <si>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</si>
  <si>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</si>
  <si>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</si>
  <si>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</si>
  <si>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</si>
  <si>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</si>
  <si>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</si>
  <si>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</si>
  <si>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</si>
  <si>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</si>
  <si>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</si>
  <si>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</si>
  <si>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</si>
  <si>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</si>
  <si>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</si>
  <si>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</si>
  <si>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</si>
  <si>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</si>
  <si>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</si>
  <si>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</si>
  <si>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</si>
  <si>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</si>
  <si>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</si>
  <si>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</si>
  <si>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</si>
  <si>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</si>
  <si>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</si>
  <si>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</si>
  <si>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</si>
  <si>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</si>
  <si>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</si>
  <si>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</si>
  <si>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</si>
  <si>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</si>
  <si>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</si>
  <si>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</si>
  <si>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</si>
  <si>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</si>
  <si>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</si>
  <si>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</si>
  <si>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</si>
  <si>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</si>
  <si>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</si>
  <si>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</si>
  <si>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</si>
  <si>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</si>
  <si>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</si>
  <si>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</si>
  <si>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</si>
  <si>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</si>
  <si>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</si>
  <si>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</si>
  <si>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</si>
  <si>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</si>
  <si>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</si>
  <si>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</si>
  <si>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</si>
  <si>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</si>
  <si>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</si>
  <si>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</si>
  <si>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</si>
  <si>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</si>
  <si>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</si>
  <si>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</si>
  <si>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</si>
  <si>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</si>
  <si>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</si>
  <si>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</si>
  <si>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</si>
  <si>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</si>
  <si>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</si>
  <si>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</si>
  <si>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</si>
  <si>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</si>
  <si>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</si>
  <si>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</si>
  <si>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</si>
  <si>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</si>
  <si>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</si>
  <si>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</si>
  <si>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</si>
  <si>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</si>
  <si>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</si>
  <si>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</si>
  <si>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</si>
  <si>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</si>
  <si>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</si>
  <si>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</si>
  <si>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</si>
  <si>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</si>
  <si>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</si>
  <si>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</si>
  <si>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</si>
  <si>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</si>
  <si>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</si>
  <si>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</si>
  <si>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</si>
  <si>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</si>
  <si>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</si>
  <si>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</si>
  <si>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</si>
  <si>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</si>
  <si>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</si>
  <si>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</si>
  <si>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</si>
  <si>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</si>
  <si>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</si>
  <si>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</si>
  <si>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</si>
  <si>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</si>
  <si>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</si>
  <si>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</si>
  <si>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</si>
  <si>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</si>
  <si>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</si>
  <si>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</si>
  <si>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</si>
  <si>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</si>
  <si>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</si>
  <si>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</si>
  <si>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</si>
  <si>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</si>
  <si>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</si>
  <si>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</si>
  <si>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</si>
  <si>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</si>
  <si>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</si>
  <si>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</si>
  <si>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</si>
  <si>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</si>
  <si>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</si>
  <si>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</si>
  <si>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</si>
  <si>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</si>
  <si>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</si>
  <si>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</si>
  <si>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</si>
  <si>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</si>
  <si>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</si>
  <si>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</si>
  <si>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</si>
  <si>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</si>
  <si>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</si>
  <si>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</si>
  <si>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</si>
  <si>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</si>
  <si>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</si>
  <si>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</si>
  <si>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</si>
  <si>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</si>
  <si>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</si>
  <si>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</si>
  <si>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</si>
  <si>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</si>
  <si>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</si>
  <si>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</si>
  <si>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</si>
  <si>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</si>
  <si>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</si>
  <si>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</si>
  <si>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</si>
  <si>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</si>
  <si>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</si>
  <si>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</si>
  <si>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</si>
  <si>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</si>
  <si>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</si>
  <si>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</si>
  <si>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</si>
  <si>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</si>
  <si>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</si>
  <si>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</si>
  <si>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</si>
  <si>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</si>
  <si>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</si>
  <si>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</si>
  <si>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</si>
  <si>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</si>
  <si>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</si>
  <si>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</si>
  <si>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</si>
  <si>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</si>
  <si>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</si>
  <si>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</si>
  <si>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</si>
  <si>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</si>
  <si>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</si>
  <si>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</si>
  <si>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</si>
  <si>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</si>
  <si>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</si>
  <si>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</si>
  <si>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</si>
  <si>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</si>
  <si>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</si>
  <si>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</si>
  <si>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</si>
  <si>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</si>
  <si>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</si>
  <si>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</si>
  <si>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</si>
  <si>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</si>
  <si>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</si>
  <si>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</si>
  <si>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</si>
  <si>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</si>
  <si>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</si>
  <si>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</si>
  <si>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</si>
  <si>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</si>
  <si>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</si>
  <si>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</si>
  <si>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</si>
  <si>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</si>
  <si>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</si>
  <si>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</si>
  <si>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</si>
  <si>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</si>
  <si>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</si>
  <si>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</si>
  <si>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</si>
  <si>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</si>
  <si>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</si>
  <si>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</si>
  <si>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</si>
  <si>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</si>
  <si>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</si>
  <si>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</si>
  <si>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</si>
  <si>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</si>
  <si>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</si>
  <si>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</si>
  <si>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</si>
  <si>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</si>
  <si>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</si>
  <si>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</si>
  <si>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</si>
  <si>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</si>
  <si>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</si>
  <si>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</si>
  <si>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</si>
  <si>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</si>
  <si>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</si>
  <si>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</si>
  <si>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</si>
  <si>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</si>
  <si>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</si>
  <si>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</si>
  <si>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</si>
  <si>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</si>
  <si>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</si>
  <si>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</si>
  <si>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</si>
  <si>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</si>
  <si>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</si>
  <si>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</si>
  <si>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</si>
  <si>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</si>
  <si>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</si>
  <si>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</si>
  <si>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</si>
  <si>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</si>
  <si>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</si>
  <si>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</si>
  <si>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</si>
  <si>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</si>
  <si>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</si>
  <si>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</si>
  <si>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</si>
  <si>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</si>
  <si>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</si>
  <si>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</si>
  <si>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</si>
  <si>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</si>
  <si>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</si>
  <si>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</si>
  <si>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</si>
  <si>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</si>
  <si>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</si>
  <si>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</si>
  <si>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</si>
  <si>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</si>
  <si>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</si>
  <si>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</si>
  <si>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</si>
  <si>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</si>
  <si>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</si>
  <si>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</si>
  <si>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</si>
  <si>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</si>
  <si>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</si>
  <si>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</si>
  <si>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</si>
  <si>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</si>
  <si>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</si>
  <si>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</si>
  <si>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</si>
  <si>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</si>
  <si>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</si>
  <si>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</si>
  <si>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</si>
  <si>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</si>
  <si>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</si>
  <si>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</si>
  <si>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</si>
  <si>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</si>
  <si>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</si>
  <si>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</si>
  <si>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</si>
  <si>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</si>
  <si>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</si>
  <si>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</si>
  <si>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</si>
  <si>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</si>
  <si>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</si>
  <si>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</si>
  <si>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</si>
  <si>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</si>
  <si>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</si>
  <si>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</si>
  <si>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</si>
  <si>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</si>
  <si>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</si>
  <si>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</si>
  <si>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</si>
  <si>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</si>
  <si>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</si>
  <si>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</si>
  <si>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</si>
  <si>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</si>
  <si>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</si>
  <si>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</si>
  <si>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</si>
  <si>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</si>
  <si>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</si>
  <si>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</si>
  <si>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</si>
  <si>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</si>
  <si>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</si>
  <si>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</si>
  <si>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</si>
  <si>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</si>
  <si>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</si>
  <si>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</si>
  <si>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</si>
  <si>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</si>
  <si>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</si>
  <si>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</si>
  <si>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</si>
  <si>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</si>
  <si>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</si>
  <si>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</si>
  <si>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</si>
  <si>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</si>
  <si>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</si>
  <si>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</si>
  <si>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</si>
  <si>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</si>
  <si>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</si>
  <si>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</si>
  <si>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</si>
  <si>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</si>
  <si>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</si>
  <si>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</si>
  <si>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</si>
  <si>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</si>
  <si>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</si>
  <si>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</si>
  <si>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</si>
  <si>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</si>
  <si>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</si>
  <si>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</si>
  <si>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</si>
  <si>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</si>
  <si>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</si>
  <si>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</si>
  <si>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</si>
  <si>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</si>
  <si>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</si>
  <si>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</si>
  <si>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</si>
  <si>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</si>
  <si>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</si>
  <si>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</si>
  <si>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</si>
  <si>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</si>
  <si>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</si>
  <si>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</si>
  <si>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</si>
  <si>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</si>
  <si>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</si>
  <si>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</si>
  <si>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</si>
  <si>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</si>
  <si>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</si>
  <si>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</si>
  <si>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</si>
  <si>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</si>
  <si>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</si>
  <si>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</si>
  <si>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</si>
  <si>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</si>
  <si>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</si>
  <si>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</si>
  <si>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</si>
  <si>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</si>
  <si>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</si>
  <si>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</si>
  <si>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</si>
  <si>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</si>
  <si>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</si>
  <si>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</si>
  <si>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</si>
  <si>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</si>
  <si>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</si>
  <si>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</si>
  <si>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</si>
  <si>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</si>
  <si>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</si>
  <si>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</si>
  <si>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</si>
  <si>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</si>
  <si>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</si>
  <si>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</si>
  <si>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</si>
  <si>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</si>
  <si>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</si>
  <si>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</si>
  <si>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</si>
  <si>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</si>
  <si>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</si>
  <si>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</si>
  <si>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</si>
  <si>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</si>
  <si>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</si>
  <si>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</si>
  <si>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</si>
  <si>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</si>
  <si>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</si>
  <si>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</si>
  <si>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</si>
  <si>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</si>
  <si>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</si>
  <si>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</si>
  <si>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</si>
  <si>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</si>
  <si>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</si>
  <si>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</si>
  <si>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</si>
  <si>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</si>
  <si>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</si>
  <si>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</si>
  <si>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</si>
  <si>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</si>
  <si>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</si>
  <si>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</si>
  <si>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</si>
  <si>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</si>
  <si>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</si>
  <si>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</si>
  <si>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</si>
  <si>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</si>
  <si>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</si>
  <si>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</si>
  <si>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</si>
  <si>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</si>
  <si>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</si>
  <si>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</si>
  <si>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</si>
  <si>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</si>
  <si>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</si>
  <si>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</si>
  <si>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</si>
  <si>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</si>
  <si>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</si>
  <si>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</si>
  <si>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</si>
  <si>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</si>
  <si>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</si>
  <si>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</si>
  <si>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</si>
  <si>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</si>
  <si>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</si>
  <si>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</si>
  <si>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</si>
  <si>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</si>
  <si>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</si>
  <si>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</si>
  <si>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</si>
  <si>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</si>
  <si>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</si>
  <si>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</si>
  <si>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</si>
  <si>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</si>
  <si>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</si>
  <si>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</si>
  <si>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</si>
  <si>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</si>
  <si>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</si>
  <si>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</si>
  <si>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</si>
  <si>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</si>
  <si>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</si>
  <si>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</si>
  <si>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</si>
  <si>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</si>
  <si>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</si>
  <si>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</si>
  <si>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</si>
  <si>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</si>
  <si>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</si>
  <si>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</si>
  <si>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</si>
  <si>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</si>
  <si>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</si>
  <si>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</si>
  <si>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</si>
  <si>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</si>
  <si>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</si>
  <si>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</si>
  <si>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</si>
  <si>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</si>
  <si>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</si>
  <si>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</si>
  <si>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</si>
  <si>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</si>
  <si>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</si>
  <si>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</si>
  <si>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</si>
  <si>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</si>
  <si>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</si>
  <si>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</si>
  <si>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</si>
  <si>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</si>
  <si>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</si>
  <si>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</si>
  <si>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</si>
  <si>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</si>
  <si>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</si>
  <si>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</si>
  <si>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</si>
  <si>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</si>
  <si>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</si>
  <si>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</si>
  <si>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</si>
  <si>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</si>
  <si>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</si>
  <si>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</si>
  <si>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</si>
  <si>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</si>
  <si>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</si>
  <si>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</si>
  <si>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</si>
  <si>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</si>
  <si>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</si>
  <si>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</si>
  <si>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</si>
  <si>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</si>
  <si>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</si>
  <si>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</si>
  <si>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</si>
  <si>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</si>
  <si>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</si>
  <si>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</si>
  <si>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</si>
  <si>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</si>
  <si>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</si>
  <si>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</si>
  <si>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</si>
  <si>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</si>
  <si>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</si>
  <si>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</si>
  <si>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</si>
  <si>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</si>
  <si>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</si>
  <si>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</si>
  <si>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</si>
  <si>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</si>
  <si>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</si>
  <si>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</si>
  <si>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</si>
  <si>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</si>
  <si>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</si>
  <si>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</si>
  <si>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</si>
  <si>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</si>
  <si>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</si>
  <si>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</si>
  <si>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</si>
  <si>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</si>
  <si>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</si>
  <si>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</si>
  <si>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</si>
  <si>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</si>
  <si>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</si>
  <si>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</si>
  <si>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</si>
  <si>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</si>
  <si>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</si>
  <si>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</si>
  <si>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</si>
  <si>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</si>
  <si>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</si>
  <si>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</si>
  <si>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</si>
  <si>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</si>
  <si>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</si>
  <si>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</si>
  <si>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</si>
  <si>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</si>
  <si>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</si>
  <si>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</si>
  <si>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</si>
  <si>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</si>
  <si>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</si>
  <si>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</si>
  <si>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</si>
  <si>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</si>
  <si>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</si>
  <si>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</si>
  <si>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</si>
  <si>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</si>
  <si>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</si>
  <si>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</si>
  <si>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</si>
  <si>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</si>
  <si>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</si>
  <si>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</si>
  <si>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</si>
  <si>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</si>
  <si>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</si>
  <si>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</si>
  <si>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</si>
  <si>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</si>
  <si>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</si>
  <si>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</si>
  <si>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</si>
  <si>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</si>
  <si>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</si>
  <si>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</si>
  <si>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</si>
  <si>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</si>
  <si>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</si>
  <si>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</si>
  <si>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</si>
  <si>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</si>
  <si>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</si>
  <si>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</si>
  <si>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</si>
  <si>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</si>
  <si>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</si>
  <si>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</si>
  <si>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</si>
  <si>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</si>
  <si>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</si>
  <si>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</si>
  <si>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</si>
  <si>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</si>
  <si>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</si>
  <si>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</si>
  <si>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</si>
  <si>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</si>
  <si>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</si>
  <si>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</si>
  <si>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</si>
  <si>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</si>
  <si>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</si>
  <si>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</si>
  <si>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</si>
  <si>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</si>
  <si>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</si>
  <si>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</si>
  <si>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</si>
  <si>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</si>
  <si>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</si>
  <si>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</si>
  <si>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</si>
  <si>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</si>
  <si>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</si>
  <si>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</si>
  <si>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</si>
  <si>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</si>
  <si>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</si>
  <si>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</si>
  <si>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</si>
  <si>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</si>
  <si>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</si>
  <si>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</si>
  <si>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</si>
  <si>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</si>
  <si>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</si>
  <si>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</si>
  <si>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</si>
  <si>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</si>
  <si>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</si>
  <si>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</si>
  <si>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</si>
  <si>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</si>
  <si>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</si>
  <si>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</si>
  <si>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</si>
  <si>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</si>
  <si>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</si>
  <si>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</si>
  <si>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</si>
  <si>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</si>
  <si>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</si>
  <si>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</si>
  <si>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</si>
  <si>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</si>
  <si>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</si>
  <si>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</si>
  <si>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</si>
  <si>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</si>
  <si>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</si>
  <si>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</si>
  <si>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</si>
  <si>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</si>
  <si>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</si>
  <si>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</si>
  <si>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</si>
  <si>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</si>
  <si>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</si>
  <si>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</si>
  <si>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</si>
  <si>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</si>
  <si>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</si>
  <si>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</si>
  <si>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</si>
  <si>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</si>
  <si>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</si>
  <si>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</si>
  <si>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</si>
  <si>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</si>
  <si>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</si>
  <si>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</si>
  <si>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</si>
  <si>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</si>
  <si>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</si>
  <si>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</si>
  <si>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</si>
  <si>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</si>
  <si>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</si>
  <si>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</si>
  <si>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</si>
  <si>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</si>
  <si>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</si>
  <si>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</si>
  <si>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</si>
  <si>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</si>
  <si>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</si>
  <si>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</si>
  <si>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</si>
  <si>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</si>
  <si>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</si>
  <si>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</si>
  <si>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</si>
  <si>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</si>
  <si>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</si>
  <si>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</si>
  <si>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</si>
  <si>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</si>
  <si>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</si>
  <si>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</si>
  <si>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</si>
  <si>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</si>
  <si>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</si>
  <si>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</si>
  <si>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</si>
  <si>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</si>
  <si>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</si>
  <si>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</si>
  <si>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</si>
  <si>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</si>
  <si>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</si>
  <si>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</si>
  <si>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</si>
  <si>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</si>
  <si>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</si>
  <si>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</si>
  <si>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</si>
  <si>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</si>
  <si>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</si>
  <si>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</si>
  <si>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</si>
  <si>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</si>
  <si>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</si>
  <si>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</si>
  <si>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</si>
  <si>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</si>
  <si>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</si>
  <si>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</si>
  <si>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</si>
  <si>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</si>
  <si>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</si>
  <si>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</si>
  <si>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</si>
  <si>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</si>
  <si>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</si>
  <si>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</si>
  <si>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</si>
  <si>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</si>
  <si>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</si>
  <si>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</si>
  <si>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</si>
  <si>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</si>
  <si>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</si>
  <si>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</si>
  <si>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</si>
  <si>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</si>
  <si>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</si>
  <si>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</si>
  <si>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</si>
  <si>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</si>
  <si>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</si>
  <si>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</si>
  <si>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</si>
  <si>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</si>
  <si>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</si>
  <si>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</si>
  <si>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</si>
  <si>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</si>
  <si>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</si>
  <si>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</si>
  <si>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</si>
  <si>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</si>
  <si>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</si>
  <si>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</si>
  <si>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</si>
  <si>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</si>
  <si>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</si>
  <si>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</si>
  <si>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</si>
  <si>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</si>
  <si>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</si>
  <si>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</si>
  <si>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</si>
  <si>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</si>
  <si>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</si>
  <si>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</si>
  <si>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</si>
  <si>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</si>
  <si>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</si>
  <si>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</si>
  <si>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</si>
  <si>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</si>
  <si>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</si>
  <si>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</si>
  <si>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</si>
  <si>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</si>
  <si>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</si>
  <si>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</si>
  <si>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</si>
  <si>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</si>
  <si>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</si>
  <si>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</si>
  <si>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</si>
  <si>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</si>
  <si>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</si>
  <si>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</si>
  <si>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</si>
  <si>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</si>
  <si>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</si>
  <si>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</si>
  <si>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</si>
  <si>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</si>
  <si>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</si>
  <si>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</si>
  <si>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</si>
  <si>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</si>
  <si>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</si>
  <si>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</si>
  <si>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</si>
  <si>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</si>
  <si>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</si>
  <si>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</si>
  <si>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</si>
  <si>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</si>
  <si>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</si>
  <si>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</si>
  <si>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</si>
  <si>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</si>
  <si>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</si>
  <si>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</si>
  <si>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</si>
  <si>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</si>
  <si>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</si>
  <si>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</si>
  <si>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</si>
  <si>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</si>
  <si>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</si>
  <si>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</si>
  <si>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</si>
  <si>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</si>
  <si>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</si>
  <si>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</si>
  <si>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</si>
  <si>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</si>
  <si>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</si>
  <si>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</si>
  <si>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</si>
  <si>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</si>
  <si>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</si>
  <si>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</si>
  <si>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</si>
  <si>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</si>
  <si>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</si>
  <si>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</si>
  <si>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</si>
  <si>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</si>
  <si>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</si>
  <si>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</si>
  <si>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</si>
  <si>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</si>
  <si>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</si>
  <si>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</si>
  <si>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</si>
  <si>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</si>
  <si>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</si>
  <si>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</si>
  <si>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</si>
  <si>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</si>
  <si>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</si>
  <si>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</si>
  <si>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</si>
  <si>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</si>
  <si>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</si>
  <si>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</si>
  <si>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</si>
  <si>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</si>
  <si>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</si>
  <si>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</si>
  <si>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</si>
  <si>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</si>
  <si>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</si>
  <si>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</si>
  <si>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</si>
  <si>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</si>
  <si>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</si>
  <si>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</si>
  <si>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</si>
  <si>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</si>
  <si>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</si>
  <si>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</si>
  <si>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</si>
  <si>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</si>
  <si>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</si>
  <si>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</si>
  <si>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</si>
  <si>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</si>
  <si>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</si>
  <si>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</si>
  <si>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</si>
  <si>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</si>
  <si>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</si>
  <si>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</si>
  <si>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</si>
  <si>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</si>
  <si>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</si>
  <si>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</si>
  <si>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</si>
  <si>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</si>
  <si>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</si>
  <si>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</si>
  <si>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</si>
  <si>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</si>
  <si>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</si>
  <si>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</si>
  <si>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</si>
  <si>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</si>
  <si>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</si>
  <si>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</si>
  <si>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</si>
  <si>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</si>
  <si>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</si>
  <si>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</si>
  <si>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</si>
  <si>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</si>
  <si>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</si>
  <si>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</si>
  <si>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</si>
  <si>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</si>
  <si>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</si>
  <si>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</si>
  <si>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</si>
  <si>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</si>
  <si>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</si>
  <si>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</si>
  <si>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</si>
  <si>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</si>
  <si>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</si>
  <si>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</si>
  <si>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</si>
  <si>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</si>
  <si>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</si>
  <si>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</si>
  <si>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</si>
  <si>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</si>
  <si>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</si>
  <si>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</si>
  <si>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</si>
  <si>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</si>
  <si>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</si>
  <si>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</si>
  <si>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</si>
  <si>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</si>
  <si>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</si>
  <si>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</si>
  <si>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</si>
  <si>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</si>
  <si>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</si>
  <si>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</si>
  <si>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</si>
  <si>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</si>
  <si>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</si>
  <si>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</si>
  <si>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</si>
  <si>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</si>
  <si>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</si>
  <si>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</si>
  <si>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</si>
  <si>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</si>
  <si>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</si>
  <si>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</si>
  <si>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</si>
  <si>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</si>
  <si>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</si>
  <si>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</si>
  <si>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</si>
  <si>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</si>
  <si>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</si>
  <si>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</si>
  <si>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</si>
  <si>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</si>
  <si>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</si>
  <si>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</si>
  <si>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</si>
  <si>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</si>
  <si>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</si>
  <si>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</si>
  <si>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</si>
  <si>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</si>
  <si>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</si>
  <si>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</si>
  <si>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</si>
  <si>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</si>
  <si>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</si>
  <si>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</si>
  <si>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</si>
  <si>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</si>
  <si>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</si>
  <si>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</si>
  <si>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</si>
  <si>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</si>
  <si>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</si>
  <si>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</si>
  <si>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</si>
  <si>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</si>
  <si>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</si>
  <si>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</si>
  <si>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</si>
  <si>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</si>
  <si>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</si>
  <si>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</si>
  <si>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</si>
  <si>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</si>
  <si>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</si>
  <si>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</si>
  <si>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</si>
  <si>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</si>
  <si>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</si>
  <si>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</si>
  <si>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</si>
  <si>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</si>
  <si>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</si>
  <si>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</si>
  <si>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</si>
  <si>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</si>
  <si>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</si>
  <si>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</si>
  <si>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</si>
  <si>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</si>
  <si>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</si>
  <si>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</si>
  <si>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</si>
  <si>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</si>
  <si>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</si>
  <si>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</si>
  <si>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</si>
  <si>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</si>
  <si>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</si>
  <si>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</si>
  <si>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</si>
  <si>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</si>
  <si>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</si>
  <si>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</si>
  <si>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</si>
  <si>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</si>
  <si>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</si>
  <si>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</si>
  <si>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</si>
  <si>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</si>
  <si>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</si>
  <si>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</si>
  <si>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</si>
  <si>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</si>
  <si>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</si>
  <si>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</si>
  <si>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</si>
  <si>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</si>
  <si>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</si>
  <si>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</si>
  <si>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</si>
  <si>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</si>
  <si>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</si>
  <si>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</si>
  <si>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</si>
  <si>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</si>
  <si>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</si>
  <si>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</si>
  <si>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企业</t>
  </si>
  <si>
    <t>抵押</t>
  </si>
  <si>
    <t>房地产抵押价值</t>
  </si>
  <si>
    <t>是</t>
  </si>
  <si>
    <t>地上</t>
  </si>
  <si>
    <t>地下</t>
  </si>
  <si>
    <t>成新度</t>
  </si>
  <si>
    <t>收益法</t>
  </si>
  <si>
    <t>商务金融用地</t>
  </si>
  <si>
    <t>不临65条商业街</t>
  </si>
  <si>
    <t>押一</t>
  </si>
  <si>
    <t>钢混</t>
  </si>
  <si>
    <t>非生产用房</t>
  </si>
  <si>
    <t>否</t>
  </si>
  <si>
    <t>现房</t>
  </si>
  <si>
    <t>项目局部</t>
  </si>
  <si>
    <t>成本法</t>
  </si>
  <si>
    <t>总价</t>
  </si>
  <si>
    <t>通路</t>
  </si>
  <si>
    <t>通电</t>
  </si>
  <si>
    <t>通讯</t>
  </si>
  <si>
    <t>通上水</t>
  </si>
  <si>
    <t>通下水</t>
  </si>
  <si>
    <t>燃气</t>
  </si>
  <si>
    <t>平整</t>
  </si>
  <si>
    <t>较好</t>
  </si>
  <si>
    <t>一般</t>
  </si>
  <si>
    <t>未包含在土地购买价格中</t>
  </si>
  <si>
    <t>全部缴纳</t>
  </si>
  <si>
    <t>已包含在土地取得成本中</t>
  </si>
  <si>
    <t>自定义容积率</t>
  </si>
  <si>
    <t>好</t>
  </si>
  <si>
    <t>与级别开发程度一致</t>
  </si>
  <si>
    <t xml:space="preserve"> -- </t>
  </si>
  <si>
    <t xml:space="preserve">-- </t>
  </si>
  <si>
    <t xml:space="preserve"> --</t>
  </si>
  <si>
    <t>正常</t>
  </si>
  <si>
    <t>七通</t>
  </si>
  <si>
    <t>快速路</t>
    <phoneticPr fontId="30" type="noConversion"/>
  </si>
  <si>
    <t>主干道</t>
  </si>
  <si>
    <t>主干道</t>
    <phoneticPr fontId="30" type="noConversion"/>
  </si>
  <si>
    <t>次干道</t>
    <phoneticPr fontId="30" type="noConversion"/>
  </si>
  <si>
    <t>支路</t>
  </si>
  <si>
    <t>支路</t>
    <phoneticPr fontId="30" type="noConversion"/>
  </si>
  <si>
    <t>六通</t>
  </si>
  <si>
    <t>五通</t>
  </si>
  <si>
    <t>四通</t>
  </si>
  <si>
    <t>三通</t>
  </si>
  <si>
    <t>较差</t>
  </si>
  <si>
    <t>差</t>
  </si>
  <si>
    <r>
      <t xml:space="preserve"> B4</t>
    </r>
    <r>
      <rPr>
        <sz val="11"/>
        <rFont val="宋体"/>
        <family val="3"/>
        <charset val="134"/>
      </rPr>
      <t/>
    </r>
    <phoneticPr fontId="30" type="noConversion"/>
  </si>
  <si>
    <r>
      <t xml:space="preserve"> F3</t>
    </r>
    <r>
      <rPr>
        <sz val="11"/>
        <rFont val="宋体"/>
        <family val="3"/>
        <charset val="134"/>
      </rPr>
      <t/>
    </r>
    <phoneticPr fontId="30" type="noConversion"/>
  </si>
  <si>
    <t>住宅</t>
  </si>
  <si>
    <t>情况4</t>
  </si>
  <si>
    <t>转让取得</t>
  </si>
  <si>
    <t>非个人房产</t>
  </si>
  <si>
    <t xml:space="preserve"> B4</t>
  </si>
  <si>
    <t>其他：</t>
  </si>
  <si>
    <t>重庆市永川区</t>
    <phoneticPr fontId="6" type="noConversion"/>
  </si>
  <si>
    <t>商业</t>
    <phoneticPr fontId="7" type="noConversion"/>
  </si>
  <si>
    <t>地块名称</t>
  </si>
  <si>
    <t>城市</t>
  </si>
  <si>
    <t>省份</t>
  </si>
  <si>
    <t>区县</t>
  </si>
  <si>
    <t>板块</t>
  </si>
  <si>
    <t>公告编号</t>
  </si>
  <si>
    <t>地块编号</t>
  </si>
  <si>
    <t>土地位置</t>
  </si>
  <si>
    <t>建设用地面积(㎡)</t>
  </si>
  <si>
    <t>规划建筑面积(㎡)</t>
  </si>
  <si>
    <t>推出保障房面积(㎡)</t>
  </si>
  <si>
    <t>成交保障房面积(㎡)</t>
  </si>
  <si>
    <t>推出自住房面积(㎡)</t>
  </si>
  <si>
    <t>成交自住房面积(㎡)</t>
  </si>
  <si>
    <t>用地性质</t>
  </si>
  <si>
    <t>详细规划</t>
  </si>
  <si>
    <t>建设用地分类</t>
  </si>
  <si>
    <t>出让年限(年)</t>
  </si>
  <si>
    <t>容积率</t>
  </si>
  <si>
    <t>容积率上限</t>
  </si>
  <si>
    <t>商业比例(%)</t>
  </si>
  <si>
    <t>建筑密度</t>
  </si>
  <si>
    <t>限制高度</t>
  </si>
  <si>
    <t>出让方式</t>
  </si>
  <si>
    <t>集中供地</t>
  </si>
  <si>
    <t>推出特殊政策</t>
  </si>
  <si>
    <t>成交特殊政策</t>
  </si>
  <si>
    <t>特殊用地类型</t>
  </si>
  <si>
    <t>保障房类型</t>
  </si>
  <si>
    <t>公告时间</t>
  </si>
  <si>
    <t>起始时间</t>
  </si>
  <si>
    <t>截止时间</t>
  </si>
  <si>
    <t>成交时间</t>
  </si>
  <si>
    <t>交易状态</t>
  </si>
  <si>
    <t>开工进度</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</si>
  <si>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</si>
  <si>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</si>
  <si>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</si>
  <si>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</si>
  <si>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</si>
  <si>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</si>
  <si>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</si>
  <si>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</si>
  <si>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</si>
  <si>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</si>
  <si>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</si>
  <si>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</si>
  <si>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</si>
  <si>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</si>
  <si>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</si>
  <si>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</si>
  <si>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</si>
  <si>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</si>
  <si>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</si>
  <si>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</si>
  <si>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</si>
  <si>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</si>
  <si>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</si>
  <si>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</si>
  <si>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关联供地计划</t>
  </si>
  <si>
    <t>供地计划名称</t>
  </si>
  <si>
    <t>职教实训基地北侧</t>
  </si>
  <si>
    <t>重庆市</t>
  </si>
  <si>
    <t xml:space="preserve"> 重庆 </t>
  </si>
  <si>
    <t xml:space="preserve"> 永川区 </t>
  </si>
  <si>
    <t xml:space="preserve"> 永川神女湖 </t>
  </si>
  <si>
    <t xml:space="preserve"> YC2024-XC-C22-2-1/04号 </t>
  </si>
  <si>
    <t>YC2024-XC-C22-2-1/04</t>
  </si>
  <si>
    <t xml:space="preserve"> 职教实训基地北侧 </t>
    <phoneticPr fontId="134" type="noConversion"/>
  </si>
  <si>
    <t xml:space="preserve"> 商业/办公用地 </t>
  </si>
  <si>
    <t xml:space="preserve"> 商务用地 </t>
  </si>
  <si>
    <t xml:space="preserve"> B2商务设施用地 </t>
  </si>
  <si>
    <t xml:space="preserve"> ≤1.5 </t>
  </si>
  <si>
    <t xml:space="preserve"> ≤35 </t>
  </si>
  <si>
    <t xml:space="preserve"> 拍卖 </t>
  </si>
  <si>
    <t xml:space="preserve"> 已成交 </t>
  </si>
  <si>
    <t xml:space="preserve"> 已开工 </t>
  </si>
  <si>
    <t xml:space="preserve"> 重庆市永川区惠通建设发展有限公司  </t>
  </si>
  <si>
    <t xml:space="preserve"> 重庆永川惠通建设 </t>
  </si>
  <si>
    <t xml:space="preserve"> 地方国有企业 </t>
  </si>
  <si>
    <t xml:space="preserve"> 城投企业 </t>
  </si>
  <si>
    <t>2024-06-19 17:00</t>
  </si>
  <si>
    <t xml:space="preserve"> 否 </t>
  </si>
  <si>
    <t>自动驾驶应用示范中心东侧</t>
  </si>
  <si>
    <t xml:space="preserve"> 永川兴龙湖 </t>
  </si>
  <si>
    <t xml:space="preserve"> YC2024-XC-A3-3-1-2/02-2号 </t>
  </si>
  <si>
    <t>YC2024-XC-A3-3-1-2/02-2</t>
  </si>
  <si>
    <t xml:space="preserve"> 自动驾驶应用示范中心东侧 </t>
    <phoneticPr fontId="134" type="noConversion"/>
  </si>
  <si>
    <t xml:space="preserve"> 商业商务用地 </t>
  </si>
  <si>
    <t xml:space="preserve"> B2商务设施用地、B1商业设施用地 </t>
  </si>
  <si>
    <t xml:space="preserve"> ≤55 </t>
  </si>
  <si>
    <t xml:space="preserve"> 重庆永川城市发展集团有限公司  </t>
  </si>
  <si>
    <t xml:space="preserve"> 重庆永川城市发展集团有限公司 </t>
  </si>
  <si>
    <t xml:space="preserve"> 民营企业 </t>
  </si>
  <si>
    <t>天悦府东侧</t>
  </si>
  <si>
    <t xml:space="preserve"> YC2024-XC-A3-15-6/02号 </t>
  </si>
  <si>
    <t>YC2024-XC-A3-15-6/02</t>
  </si>
  <si>
    <t xml:space="preserve"> 天悦府东侧 </t>
    <phoneticPr fontId="134" type="noConversion"/>
  </si>
  <si>
    <t xml:space="preserve"> B1商业设施用地、B2商务设施用地 </t>
  </si>
  <si>
    <t xml:space="preserve"> ≤50 </t>
  </si>
  <si>
    <r>
      <t>1500-1600</t>
    </r>
    <r>
      <rPr>
        <sz val="10"/>
        <color indexed="8"/>
        <rFont val="宋体"/>
        <family val="3"/>
        <charset val="134"/>
      </rPr>
      <t>万</t>
    </r>
    <phoneticPr fontId="8" type="noConversion"/>
  </si>
  <si>
    <t>收益比率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</si>
</sst>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color rgb="FF000000"/>
      <name val="Times New Roman"/>
      <family val="1"/>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0" fontId="36" fillId="0" borderId="0">
      <alignment vertical="center"/>
    </xf>
    <xf numFmtId="9"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91" fontId="36" fillId="0" borderId="0"/>
    <xf numFmtId="191" fontId="36" fillId="0" borderId="0"/>
    <xf numFmtId="191" fontId="269" fillId="0" borderId="0"/>
    <xf numFmtId="191" fontId="95" fillId="0" borderId="0">
      <alignment vertical="center"/>
    </xf>
    <xf numFmtId="191" fontId="95" fillId="0" borderId="0">
      <alignment vertical="center"/>
    </xf>
    <xf numFmtId="191" fontId="95" fillId="0" borderId="0"/>
    <xf numFmtId="191" fontId="53" fillId="0" borderId="0"/>
    <xf numFmtId="0" fontId="221" fillId="0" borderId="0"/>
    <xf numFmtId="0" fontId="270" fillId="0" borderId="0"/>
    <xf numFmtId="0" fontId="95" fillId="0" borderId="0">
      <alignment vertical="center"/>
    </xf>
    <xf numFmtId="0" fontId="95" fillId="0" borderId="0">
      <alignment vertical="center"/>
    </xf>
    <xf numFmtId="191" fontId="95" fillId="0" borderId="0"/>
    <xf numFmtId="191" fontId="95" fillId="0" borderId="0">
      <alignment vertical="center"/>
    </xf>
    <xf numFmtId="0" fontId="95" fillId="0" borderId="0"/>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cellStyleXfs>
  <cellXfs count="34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9" fillId="16" borderId="1" xfId="0" applyFont="1" applyFill="1" applyBorder="1" applyAlignment="1" applyProtection="1">
      <alignment horizontal="center" vertical="center" wrapText="1"/>
      <protection locked="0"/>
    </xf>
    <xf numFmtId="0" fontId="99" fillId="0" borderId="0" xfId="0" applyFont="1">
      <alignment vertical="center"/>
    </xf>
    <xf numFmtId="0" fontId="128" fillId="0" borderId="44" xfId="0" applyFont="1" applyBorder="1" applyAlignment="1" applyProtection="1">
      <alignment horizontal="center" vertical="center" wrapText="1"/>
      <protection locked="0"/>
    </xf>
    <xf numFmtId="0" fontId="47" fillId="8" borderId="5" xfId="0" applyFont="1" applyFill="1" applyBorder="1" applyAlignment="1">
      <alignment horizontal="left" vertical="center"/>
    </xf>
    <xf numFmtId="49" fontId="222" fillId="12" borderId="4" xfId="0" applyNumberFormat="1" applyFont="1" applyFill="1" applyBorder="1" applyAlignment="1" applyProtection="1">
      <alignment horizontal="left" vertical="center"/>
      <protection locked="0"/>
    </xf>
    <xf numFmtId="181" fontId="47" fillId="12" borderId="0" xfId="17" applyNumberFormat="1" applyFont="1" applyFill="1" applyProtection="1">
      <alignment vertical="center"/>
      <protection locked="0"/>
    </xf>
    <xf numFmtId="14" fontId="0" fillId="0" borderId="0" xfId="0" applyNumberFormat="1" applyAlignment="1"/>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51">
    <cellStyle name="Comma 2" xfId="23" xr:uid="{00000000-0005-0000-0000-000000000000}"/>
    <cellStyle name="Comma 2 2" xfId="24" xr:uid="{00000000-0005-0000-0000-000001000000}"/>
    <cellStyle name="Comma 2 2 2" xfId="25" xr:uid="{00000000-0005-0000-0000-000002000000}"/>
    <cellStyle name="Comma 2 2 2 2" xfId="26" xr:uid="{00000000-0005-0000-0000-000003000000}"/>
    <cellStyle name="Comma 2 2 3" xfId="27" xr:uid="{00000000-0005-0000-0000-000004000000}"/>
    <cellStyle name="Comma 2 3" xfId="28" xr:uid="{00000000-0005-0000-0000-000005000000}"/>
    <cellStyle name="Comma 2 3 2" xfId="29" xr:uid="{00000000-0005-0000-0000-000006000000}"/>
    <cellStyle name="Comma 2 4" xfId="30" xr:uid="{00000000-0005-0000-0000-000007000000}"/>
    <cellStyle name="Normal 2" xfId="31" xr:uid="{00000000-0005-0000-0000-000008000000}"/>
    <cellStyle name="Normal 2 2 2" xfId="32" xr:uid="{00000000-0005-0000-0000-000009000000}"/>
    <cellStyle name="Normal 2 8" xfId="33" xr:uid="{00000000-0005-0000-0000-00000A000000}"/>
    <cellStyle name="Normal 3" xfId="34" xr:uid="{00000000-0005-0000-0000-00000B000000}"/>
    <cellStyle name="Normal 4" xfId="35" xr:uid="{00000000-0005-0000-0000-00000C000000}"/>
    <cellStyle name="Normal 5" xfId="36" xr:uid="{00000000-0005-0000-0000-00000D000000}"/>
    <cellStyle name="Normal_Shangri-La Offices Rental Schedule by 8 units--elevator060803_Shangri-La Offices - Rental Guideline &amp; Leasing Policy 060913draft 2" xfId="37" xr:uid="{00000000-0005-0000-0000-00000E000000}"/>
    <cellStyle name="百分比" xfId="17" builtinId="5"/>
    <cellStyle name="百分比 2" xfId="14" xr:uid="{00000000-0005-0000-0000-000010000000}"/>
    <cellStyle name="百分比 3" xfId="21" xr:uid="{00000000-0005-0000-0000-000011000000}"/>
    <cellStyle name="百分比 4" xfId="19" xr:uid="{00000000-0005-0000-0000-000012000000}"/>
    <cellStyle name="常规" xfId="0" builtinId="0"/>
    <cellStyle name="常规 10" xfId="38" xr:uid="{00000000-0005-0000-0000-000014000000}"/>
    <cellStyle name="常规 11" xfId="18" xr:uid="{00000000-0005-0000-0000-000015000000}"/>
    <cellStyle name="常规 12" xfId="39" xr:uid="{00000000-0005-0000-0000-000016000000}"/>
    <cellStyle name="常规 13" xfId="40" xr:uid="{00000000-0005-0000-0000-000017000000}"/>
    <cellStyle name="常规 14" xfId="41" xr:uid="{00000000-0005-0000-0000-000018000000}"/>
    <cellStyle name="常规 16" xfId="10" xr:uid="{00000000-0005-0000-0000-000019000000}"/>
    <cellStyle name="常规 2" xfId="1" xr:uid="{00000000-0005-0000-0000-00001A000000}"/>
    <cellStyle name="常规 2 2" xfId="8" xr:uid="{00000000-0005-0000-0000-00001B000000}"/>
    <cellStyle name="常规 2 2 2 2 3" xfId="15" xr:uid="{00000000-0005-0000-0000-00001C000000}"/>
    <cellStyle name="常规 2 3" xfId="20" xr:uid="{00000000-0005-0000-0000-00001D000000}"/>
    <cellStyle name="常规 3" xfId="2" xr:uid="{00000000-0005-0000-0000-00001E000000}"/>
    <cellStyle name="常规 3 2" xfId="3" xr:uid="{00000000-0005-0000-0000-00001F000000}"/>
    <cellStyle name="常规 3 2 2" xfId="42" xr:uid="{00000000-0005-0000-0000-000020000000}"/>
    <cellStyle name="常规 3 3" xfId="43" xr:uid="{00000000-0005-0000-0000-000021000000}"/>
    <cellStyle name="常规 4" xfId="4" xr:uid="{00000000-0005-0000-0000-000022000000}"/>
    <cellStyle name="常规 5" xfId="5" xr:uid="{00000000-0005-0000-0000-000023000000}"/>
    <cellStyle name="常规 6" xfId="6" xr:uid="{00000000-0005-0000-0000-000024000000}"/>
    <cellStyle name="常规 6 2" xfId="9" xr:uid="{00000000-0005-0000-0000-000025000000}"/>
    <cellStyle name="常规 6 2 2" xfId="16" xr:uid="{00000000-0005-0000-0000-000026000000}"/>
    <cellStyle name="常规 6 2 3" xfId="13" xr:uid="{00000000-0005-0000-0000-000027000000}"/>
    <cellStyle name="常规 7" xfId="7" xr:uid="{00000000-0005-0000-0000-000028000000}"/>
    <cellStyle name="常规 8" xfId="11" xr:uid="{00000000-0005-0000-0000-000029000000}"/>
    <cellStyle name="常规 9" xfId="12" xr:uid="{00000000-0005-0000-0000-00002A000000}"/>
    <cellStyle name="常规 9 2" xfId="44" xr:uid="{00000000-0005-0000-0000-00002B000000}"/>
    <cellStyle name="千位分隔 2" xfId="22" xr:uid="{00000000-0005-0000-0000-00002C000000}"/>
    <cellStyle name="千位分隔 2 2" xfId="45" xr:uid="{00000000-0005-0000-0000-00002D000000}"/>
    <cellStyle name="千位分隔 2 2 2" xfId="46" xr:uid="{00000000-0005-0000-0000-00002E000000}"/>
    <cellStyle name="千位分隔 2 3" xfId="47" xr:uid="{00000000-0005-0000-0000-00002F000000}"/>
    <cellStyle name="千位分隔 3" xfId="48" xr:uid="{00000000-0005-0000-0000-000030000000}"/>
    <cellStyle name="千位分隔 3 2" xfId="49" xr:uid="{00000000-0005-0000-0000-000031000000}"/>
    <cellStyle name="千位分隔 4" xfId="50" xr:uid="{00000000-0005-0000-0000-00003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重庆市永川区房地产抵押价值预评估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受贵公司委托，我公司对重庆市永川区房地产抵押价值进行了预评估。</v>
      </c>
    </row>
    <row r="7" spans="1:2">
      <c r="A7" s="1118" t="s">
        <v>566</v>
      </c>
      <c r="B7" s="1119" t="str">
        <f>'预评函-1'!A7</f>
        <v>估价对象为重庆市永川区房地产，为所有。根据《国有土地使用证》[]，估价对象（分摊）出让国有建设用地使用权面积为0平方米，建筑面积为2375.33平方米。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估价对象为重庆市永川区房地产,属开发建设的，该项目尚在开发建设中。根据《国有土地使用证》[]，估价对象（分摊）出让国有建设用地使用权面积为0平方米，规划建筑面积为2375.33平方米。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拟使用重庆市永川区房地产作为抵押担保物，向办理贷款手续。特委托北京康正宏基房地产评估有限公司对上述抵押物进行评估。本次评估为确定房地产抵押贷款额度提供参考依据而评估房地产抵押价值。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2024年9月9日</v>
      </c>
    </row>
    <row r="13" spans="1:2">
      <c r="A13" s="1118" t="s">
        <v>529</v>
      </c>
      <c r="B13" s="1119" t="str">
        <f>'预评函-1'!A18</f>
        <v>本次估价的“房地产价值”是指在正常市场情况下，在价值时点2024年9月9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本次评估采用的主估价方法为成本法和收益法。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1567</v>
      </c>
    </row>
    <row r="21" spans="1:2">
      <c r="A21" s="1118" t="s">
        <v>537</v>
      </c>
      <c r="B21" s="1119">
        <f ca="1">'预评函-2'!D7</f>
        <v>6597</v>
      </c>
    </row>
    <row r="22" spans="1:2">
      <c r="A22" s="1118" t="s">
        <v>538</v>
      </c>
      <c r="B22" s="1119" t="str">
        <f ca="1">'预评函-2'!D6</f>
        <v>壹仟伍佰陆拾柒万元整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1567</v>
      </c>
    </row>
    <row r="31" spans="1:2">
      <c r="A31" s="1118" t="s">
        <v>576</v>
      </c>
      <c r="B31" s="1119">
        <f ca="1">'预评函-2'!D15</f>
        <v>6597</v>
      </c>
    </row>
    <row r="32" spans="1:2">
      <c r="A32" s="1118" t="s">
        <v>543</v>
      </c>
      <c r="B32" s="1119" t="str">
        <f ca="1">'预评函-2'!D14</f>
        <v>壹仟伍佰陆拾柒万元整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4.抵押净值</v>
      </c>
    </row>
    <row r="38" spans="1:2">
      <c r="A38" s="1118" t="s">
        <v>597</v>
      </c>
      <c r="B38" s="1119">
        <f ca="1">'预评函-2'!D19</f>
        <v>1409</v>
      </c>
    </row>
    <row r="39" spans="1:2">
      <c r="A39" s="1118" t="s">
        <v>545</v>
      </c>
      <c r="B39" s="1119">
        <f ca="1">'预评函-2'!D21</f>
        <v>5932</v>
      </c>
    </row>
    <row r="40" spans="1:2">
      <c r="A40" s="1118" t="s">
        <v>546</v>
      </c>
      <c r="B40" s="1119" t="str">
        <f ca="1">'预评函-2'!D20</f>
        <v>壹仟肆佰零玖万元整</v>
      </c>
    </row>
    <row r="41" spans="1:2">
      <c r="A41" s="1118" t="s">
        <v>592</v>
      </c>
      <c r="B41" s="1119" t="str">
        <f>'预评函-3'!A4</f>
        <v>重庆市永川区房地产</v>
      </c>
    </row>
    <row r="42" spans="1:2">
      <c r="A42" s="1118" t="s">
        <v>590</v>
      </c>
      <c r="B42" s="1119" t="str">
        <f>'预评函-3'!B2</f>
        <v>建筑面积</v>
      </c>
    </row>
    <row r="43" spans="1:2">
      <c r="A43" s="1118" t="s">
        <v>591</v>
      </c>
      <c r="B43" s="1119">
        <f>'预评函-3'!B4</f>
        <v>2375.33</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 ca="1">'预评函-3'!D4</f>
        <v>461</v>
      </c>
    </row>
    <row r="48" spans="1:2">
      <c r="A48" s="1118" t="s">
        <v>549</v>
      </c>
      <c r="B48" s="1119">
        <f ca="1">'预评函-3'!E4</f>
        <v>1941</v>
      </c>
    </row>
    <row r="49" spans="1:2">
      <c r="A49" s="1118" t="s">
        <v>550</v>
      </c>
      <c r="B49" s="1119" t="str">
        <f ca="1">'预评函-3'!D5</f>
        <v>肆佰陆拾壹万元整</v>
      </c>
    </row>
    <row r="50" spans="1:2">
      <c r="A50" s="1118" t="s">
        <v>574</v>
      </c>
      <c r="B50" s="1119" t="str">
        <f>'预评函-3'!F2</f>
        <v>在建建筑物价值</v>
      </c>
    </row>
    <row r="51" spans="1:2">
      <c r="A51" s="1118" t="s">
        <v>551</v>
      </c>
      <c r="B51" s="1119">
        <f ca="1">'预评函-3'!F4</f>
        <v>1106</v>
      </c>
    </row>
    <row r="52" spans="1:2">
      <c r="A52" s="1118" t="s">
        <v>552</v>
      </c>
      <c r="B52" s="1119">
        <f ca="1">'预评函-3'!G4</f>
        <v>4656</v>
      </c>
    </row>
    <row r="53" spans="1:2">
      <c r="A53" s="1118" t="s">
        <v>580</v>
      </c>
      <c r="B53" s="1119" t="str">
        <f ca="1">'预评函-3'!F5</f>
        <v>壹仟壹佰零陆万元整</v>
      </c>
    </row>
    <row r="54" spans="1:2">
      <c r="A54" s="1118" t="s">
        <v>598</v>
      </c>
      <c r="B54" s="1119" t="str">
        <f>'预评函-3'!A8</f>
        <v>房地产抵押价值</v>
      </c>
    </row>
    <row r="55" spans="1:2">
      <c r="A55" s="1118" t="s">
        <v>581</v>
      </c>
      <c r="B55" s="1119" t="str">
        <f>'预评函-3'!A10</f>
        <v/>
      </c>
    </row>
    <row r="56" spans="1:2">
      <c r="A56" s="1118" t="s">
        <v>582</v>
      </c>
      <c r="B56" s="1119" t="str">
        <f>'预评函-3'!A12</f>
        <v>抵押净值</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3351</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3337</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3338</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3339</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3340</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3341</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3342</v>
      </c>
    </row>
    <row r="8" spans="1:23">
      <c r="A8" s="1440" t="s">
        <v>1026</v>
      </c>
      <c r="B8" s="1440" t="s">
        <v>1027</v>
      </c>
      <c r="C8" s="1441" t="s">
        <v>319</v>
      </c>
      <c r="F8" s="1442" t="s">
        <v>1028</v>
      </c>
      <c r="H8" s="1442" t="s">
        <v>2577</v>
      </c>
      <c r="I8" s="1442" t="s">
        <v>3343</v>
      </c>
    </row>
    <row r="9" spans="1:23">
      <c r="A9" s="1440" t="s">
        <v>1029</v>
      </c>
      <c r="B9" s="1440" t="s">
        <v>1030</v>
      </c>
      <c r="C9" s="1441" t="s">
        <v>320</v>
      </c>
      <c r="F9" s="1442" t="s">
        <v>1031</v>
      </c>
      <c r="H9" s="1442"/>
      <c r="I9" s="1444" t="s">
        <v>3344</v>
      </c>
    </row>
    <row r="10" spans="1:23">
      <c r="A10" s="1440" t="s">
        <v>1032</v>
      </c>
      <c r="B10" s="1440" t="s">
        <v>1033</v>
      </c>
      <c r="C10" s="1441" t="s">
        <v>321</v>
      </c>
      <c r="F10" s="1442" t="s">
        <v>2578</v>
      </c>
      <c r="I10" s="1444" t="s">
        <v>3345</v>
      </c>
    </row>
    <row r="11" spans="1:23">
      <c r="A11" s="1440" t="s">
        <v>1034</v>
      </c>
      <c r="B11" s="1440" t="s">
        <v>1035</v>
      </c>
      <c r="C11" s="1441" t="s">
        <v>322</v>
      </c>
      <c r="F11" s="1442" t="s">
        <v>13</v>
      </c>
      <c r="I11" s="1444" t="s">
        <v>3346</v>
      </c>
    </row>
    <row r="12" spans="1:23">
      <c r="A12" s="1440" t="s">
        <v>1036</v>
      </c>
      <c r="B12" s="1440" t="s">
        <v>1037</v>
      </c>
      <c r="C12" s="1441" t="s">
        <v>323</v>
      </c>
      <c r="I12" s="1444" t="s">
        <v>3347</v>
      </c>
    </row>
    <row r="13" spans="1:23">
      <c r="A13" s="1440" t="s">
        <v>1038</v>
      </c>
      <c r="B13" s="1440" t="s">
        <v>1039</v>
      </c>
      <c r="C13" s="1441" t="s">
        <v>324</v>
      </c>
      <c r="I13" s="1444" t="s">
        <v>3348</v>
      </c>
    </row>
    <row r="14" spans="1:23">
      <c r="A14" s="1440" t="s">
        <v>1040</v>
      </c>
      <c r="B14" s="1440" t="s">
        <v>1041</v>
      </c>
      <c r="C14" s="1442" t="s">
        <v>13</v>
      </c>
      <c r="I14" s="1444" t="s">
        <v>3349</v>
      </c>
    </row>
    <row r="15" spans="1:23">
      <c r="A15" s="1440" t="s">
        <v>1042</v>
      </c>
      <c r="B15" s="1440" t="s">
        <v>1043</v>
      </c>
      <c r="C15" s="1441"/>
      <c r="I15" s="1444" t="s">
        <v>3350</v>
      </c>
    </row>
    <row r="16" spans="1:23">
      <c r="A16" s="1440" t="s">
        <v>1044</v>
      </c>
      <c r="B16" s="1440" t="s">
        <v>312</v>
      </c>
      <c r="C16" s="1441"/>
    </row>
    <row r="17" spans="1:3">
      <c r="A17" s="1440" t="s">
        <v>1045</v>
      </c>
      <c r="B17" s="1440" t="s">
        <v>2291</v>
      </c>
      <c r="C17" s="1441"/>
    </row>
    <row r="18" spans="1:3">
      <c r="A18" s="1440" t="s">
        <v>1046</v>
      </c>
      <c r="B18" s="1440" t="s">
        <v>2433</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拟使用重庆市永川区房地产作为抵押担保物，向办理贷款手续。特委托北京康正宏基房地产评估有限公司对上述抵押物进行评估。本次评估为确定房地产抵押贷款额度提供参考依据而评估房地产抵押价值。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190"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0"/>
      <c r="B54" s="1446" t="s">
        <v>385</v>
      </c>
      <c r="C54" s="1444" t="s">
        <v>583</v>
      </c>
    </row>
    <row r="55" spans="1:4">
      <c r="A55" s="3190"/>
      <c r="B55" s="1446" t="s">
        <v>386</v>
      </c>
      <c r="C55" s="1444" t="s">
        <v>584</v>
      </c>
    </row>
    <row r="56" spans="1:4">
      <c r="A56" s="3190"/>
      <c r="B56" s="1446" t="s">
        <v>387</v>
      </c>
      <c r="C56" s="1444" t="s">
        <v>588</v>
      </c>
    </row>
    <row r="57" spans="1:4">
      <c r="A57" s="3190"/>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C50" sqref="C50"/>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191" t="s">
        <v>2580</v>
      </c>
      <c r="J2" s="3191"/>
      <c r="K2" s="3191"/>
      <c r="L2" s="3191"/>
      <c r="M2" s="3191"/>
      <c r="N2" s="3191"/>
      <c r="O2" s="3191"/>
      <c r="P2" s="3191"/>
      <c r="Q2" s="3191"/>
      <c r="R2" s="3191"/>
    </row>
    <row r="3" spans="1:18">
      <c r="A3" s="2761" t="s">
        <v>2501</v>
      </c>
      <c r="B3" s="2762">
        <f>项目基本情况!D3</f>
        <v>45544</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2.27</v>
      </c>
      <c r="D5" s="2766">
        <f>IF(ISERROR(ROUND(POWER(1+E5,A5-C5)*(POWER(1+E5,C5)-1)/(POWER(1+E5,A5)-1),3)),0,ROUND(POWER(1+E5,A5-C5)*(POWER(1+E5,C5)-1)/(POWER(1+E5,A5)-1),4))</f>
        <v>0.1076</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12.28</v>
      </c>
      <c r="D6" s="2766">
        <f>IF(ISERROR(ROUND(POWER(1+E6,A6-C6)*(POWER(1+E6,C6)-1)/(POWER(1+E6,A6)-1),3)),0,ROUND(POWER(1+E6,A6-C6)*(POWER(1+E6,C6)-1)/(POWER(1+E6,A6)-1),4))</f>
        <v>0.44479999999999997</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32.29</v>
      </c>
      <c r="D7" s="2766">
        <f>IF(ISERROR(ROUND(POWER(1+E7,A7-C7)*(POWER(1+E7,C7)-1)/(POWER(1+E7,A7)-1),3)),0,ROUND(POWER(1+E7,A7-C7)*(POWER(1+E7,C7)-1)/(POWER(1+E7,A7)-1),4))</f>
        <v>0.76749999999999996</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3">
      <c r="A17" s="2761" t="s">
        <v>2517</v>
      </c>
      <c r="B17" s="2769">
        <v>4810</v>
      </c>
      <c r="C17" s="2763"/>
      <c r="D17" s="2759"/>
      <c r="E17" s="2759"/>
      <c r="F17" s="2760"/>
    </row>
    <row r="18" spans="1:13" ht="14.25" thickBot="1">
      <c r="A18" s="2771" t="s">
        <v>2516</v>
      </c>
      <c r="B18" s="2772">
        <f>ROUND(B17*F11/F12,2)</f>
        <v>5541.87</v>
      </c>
      <c r="C18" s="2772">
        <f>ROUND(F11/F12,4)</f>
        <v>1.1521999999999999</v>
      </c>
      <c r="D18" s="2773"/>
      <c r="E18" s="2773"/>
      <c r="F18" s="2774"/>
    </row>
    <row r="19" spans="1:13" ht="14.25" thickBot="1"/>
    <row r="20" spans="1:13" s="2807" customFormat="1" ht="14.25" thickTop="1">
      <c r="A20" s="2804" t="s">
        <v>2519</v>
      </c>
      <c r="B20" s="2805"/>
      <c r="C20" s="2805"/>
      <c r="D20" s="2805"/>
      <c r="E20" s="2805"/>
      <c r="F20" s="2805"/>
      <c r="G20" s="2806"/>
      <c r="I20" s="2808" t="s">
        <v>2564</v>
      </c>
      <c r="J20" s="2808" t="s">
        <v>2569</v>
      </c>
      <c r="K20" s="2808"/>
      <c r="L20" s="2808"/>
      <c r="M20" s="2808"/>
    </row>
    <row r="21" spans="1:13">
      <c r="A21" s="2775"/>
      <c r="B21" s="2776" t="s">
        <v>2520</v>
      </c>
      <c r="C21" s="2776" t="s">
        <v>2521</v>
      </c>
      <c r="D21" s="2776" t="s">
        <v>2522</v>
      </c>
      <c r="E21" s="2776" t="s">
        <v>2523</v>
      </c>
      <c r="F21" s="2776" t="s">
        <v>2524</v>
      </c>
      <c r="G21" s="2777" t="s">
        <v>2525</v>
      </c>
      <c r="I21" s="2798">
        <v>5</v>
      </c>
      <c r="J21" s="2798">
        <v>54.2</v>
      </c>
    </row>
    <row r="22" spans="1:13">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M23" s="2798" t="s">
        <v>2568</v>
      </c>
    </row>
    <row r="24" spans="1:13">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M24" s="2798">
        <v>10</v>
      </c>
    </row>
    <row r="25" spans="1:13">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M25" s="2798">
        <v>8</v>
      </c>
    </row>
    <row r="26" spans="1:13">
      <c r="A26" s="2780"/>
      <c r="B26" s="2781"/>
      <c r="C26" s="2781"/>
      <c r="D26" s="2781"/>
      <c r="E26" s="2781"/>
      <c r="F26" s="2781"/>
      <c r="G26" s="2782"/>
      <c r="I26" s="2798">
        <v>30</v>
      </c>
      <c r="J26" s="2798">
        <v>90.5</v>
      </c>
      <c r="K26" s="2798">
        <f t="shared" si="2"/>
        <v>4.2000000000000028</v>
      </c>
      <c r="L26" s="2798" t="s">
        <v>2571</v>
      </c>
      <c r="M26" s="2798">
        <v>5</v>
      </c>
    </row>
    <row r="27" spans="1:13">
      <c r="A27" s="2780" t="s">
        <v>2530</v>
      </c>
      <c r="B27" s="2781"/>
      <c r="C27" s="2781"/>
      <c r="D27" s="2781"/>
      <c r="E27" s="2781"/>
      <c r="F27" s="2781"/>
      <c r="G27" s="2782"/>
      <c r="I27" s="2798">
        <v>35</v>
      </c>
      <c r="J27" s="2798">
        <v>93.8</v>
      </c>
      <c r="K27" s="2798">
        <f t="shared" si="2"/>
        <v>3.2999999999999972</v>
      </c>
      <c r="L27" s="2798" t="s">
        <v>2572</v>
      </c>
      <c r="M27" s="2798">
        <v>3</v>
      </c>
    </row>
    <row r="28" spans="1:13">
      <c r="A28" s="2780" t="s">
        <v>2531</v>
      </c>
      <c r="B28" s="2781"/>
      <c r="C28" s="2781"/>
      <c r="D28" s="2781"/>
      <c r="E28" s="2781"/>
      <c r="F28" s="2781"/>
      <c r="G28" s="2782"/>
      <c r="I28" s="2798">
        <v>40</v>
      </c>
      <c r="J28" s="2798">
        <v>96.4</v>
      </c>
      <c r="K28" s="2798">
        <f t="shared" si="2"/>
        <v>2.6000000000000085</v>
      </c>
      <c r="L28" s="2798" t="s">
        <v>2573</v>
      </c>
      <c r="M28" s="2798">
        <v>2</v>
      </c>
    </row>
    <row r="29" spans="1:13">
      <c r="A29" s="2780" t="s">
        <v>2532</v>
      </c>
      <c r="B29" s="2781"/>
      <c r="C29" s="2781"/>
      <c r="D29" s="2781"/>
      <c r="E29" s="2781"/>
      <c r="F29" s="2781"/>
      <c r="G29" s="2782"/>
      <c r="I29" s="2798">
        <v>45</v>
      </c>
      <c r="J29" s="2798">
        <v>98.4</v>
      </c>
      <c r="K29" s="2798">
        <f t="shared" si="2"/>
        <v>2</v>
      </c>
    </row>
    <row r="30" spans="1:13">
      <c r="A30" s="2780" t="s">
        <v>2533</v>
      </c>
      <c r="B30" s="2781"/>
      <c r="C30" s="2781"/>
      <c r="D30" s="2781"/>
      <c r="E30" s="2781"/>
      <c r="F30" s="2781"/>
      <c r="G30" s="2782"/>
      <c r="I30" s="2798">
        <v>50</v>
      </c>
      <c r="J30" s="2798">
        <v>100</v>
      </c>
      <c r="K30" s="2798">
        <f t="shared" si="2"/>
        <v>1.5999999999999943</v>
      </c>
    </row>
    <row r="31" spans="1:13">
      <c r="A31" s="2780" t="s">
        <v>2534</v>
      </c>
      <c r="B31" s="2781"/>
      <c r="C31" s="2781"/>
      <c r="D31" s="2781"/>
      <c r="E31" s="2781"/>
      <c r="F31" s="2781"/>
      <c r="G31" s="2782"/>
      <c r="I31" s="2798" t="s">
        <v>2565</v>
      </c>
    </row>
    <row r="32" spans="1:13">
      <c r="A32" s="2780" t="s">
        <v>2535</v>
      </c>
      <c r="B32" s="2781"/>
      <c r="C32" s="2781"/>
      <c r="D32" s="2781"/>
      <c r="E32" s="2781"/>
      <c r="F32" s="2781"/>
      <c r="G32" s="2782"/>
    </row>
    <row r="33" spans="1:13">
      <c r="A33" s="2780" t="s">
        <v>2536</v>
      </c>
      <c r="B33" s="2781"/>
      <c r="C33" s="2781"/>
      <c r="D33" s="2781"/>
      <c r="E33" s="2781"/>
      <c r="F33" s="2781"/>
      <c r="G33" s="2782"/>
      <c r="I33" s="2798" t="s">
        <v>2564</v>
      </c>
      <c r="J33" s="2798" t="s">
        <v>2574</v>
      </c>
    </row>
    <row r="34" spans="1:13">
      <c r="A34" s="2780" t="s">
        <v>2537</v>
      </c>
      <c r="B34" s="2781"/>
      <c r="C34" s="2781"/>
      <c r="D34" s="2781"/>
      <c r="E34" s="2781"/>
      <c r="F34" s="2781"/>
      <c r="G34" s="2782"/>
      <c r="I34" s="2798">
        <v>5</v>
      </c>
      <c r="J34" s="2798">
        <v>55.1</v>
      </c>
    </row>
    <row r="35" spans="1:13">
      <c r="A35" s="2780" t="s">
        <v>2538</v>
      </c>
      <c r="B35" s="2781"/>
      <c r="C35" s="2781"/>
      <c r="D35" s="2781"/>
      <c r="E35" s="2781"/>
      <c r="F35" s="2781"/>
      <c r="G35" s="2782"/>
      <c r="I35" s="2798">
        <v>10</v>
      </c>
      <c r="J35" s="2798">
        <v>67</v>
      </c>
      <c r="K35" s="2798">
        <f>J35-J34</f>
        <v>11.899999999999999</v>
      </c>
    </row>
    <row r="36" spans="1:13">
      <c r="A36" s="2780" t="s">
        <v>2539</v>
      </c>
      <c r="B36" s="2781"/>
      <c r="C36" s="2781"/>
      <c r="D36" s="2781"/>
      <c r="E36" s="2781"/>
      <c r="F36" s="2781"/>
      <c r="G36" s="2782"/>
      <c r="I36" s="2798">
        <v>15</v>
      </c>
      <c r="J36" s="2798">
        <v>76.3</v>
      </c>
      <c r="K36" s="2798">
        <f t="shared" ref="K36:K41" si="3">J36-J35</f>
        <v>9.2999999999999972</v>
      </c>
      <c r="L36" s="2798" t="s">
        <v>2567</v>
      </c>
      <c r="M36" s="2798" t="s">
        <v>2568</v>
      </c>
    </row>
    <row r="37" spans="1:13">
      <c r="A37" s="2780" t="s">
        <v>2540</v>
      </c>
      <c r="B37" s="2781"/>
      <c r="C37" s="2781"/>
      <c r="D37" s="2781"/>
      <c r="E37" s="2781"/>
      <c r="F37" s="2781"/>
      <c r="G37" s="2782"/>
      <c r="I37" s="2798">
        <v>20</v>
      </c>
      <c r="J37" s="2798">
        <v>83.6</v>
      </c>
      <c r="K37" s="2798">
        <f t="shared" si="3"/>
        <v>7.2999999999999972</v>
      </c>
      <c r="L37" s="2798" t="s">
        <v>2566</v>
      </c>
      <c r="M37" s="2798">
        <v>10</v>
      </c>
    </row>
    <row r="38" spans="1:13">
      <c r="A38" s="2780" t="s">
        <v>2541</v>
      </c>
      <c r="B38" s="2781"/>
      <c r="C38" s="2781"/>
      <c r="D38" s="2781"/>
      <c r="E38" s="2781"/>
      <c r="F38" s="2781"/>
      <c r="G38" s="2782"/>
      <c r="I38" s="2798">
        <v>25</v>
      </c>
      <c r="J38" s="2798">
        <v>89.3</v>
      </c>
      <c r="K38" s="2798">
        <f t="shared" si="3"/>
        <v>5.7000000000000028</v>
      </c>
      <c r="L38" s="2798" t="s">
        <v>2570</v>
      </c>
      <c r="M38" s="2798">
        <v>8</v>
      </c>
    </row>
    <row r="39" spans="1:13">
      <c r="A39" s="2780"/>
      <c r="B39" s="2781"/>
      <c r="C39" s="2781"/>
      <c r="D39" s="2781"/>
      <c r="E39" s="2781"/>
      <c r="F39" s="2781"/>
      <c r="G39" s="2782"/>
      <c r="I39" s="2798">
        <v>30</v>
      </c>
      <c r="J39" s="2798">
        <v>93.8</v>
      </c>
      <c r="K39" s="2798">
        <f t="shared" si="3"/>
        <v>4.5</v>
      </c>
      <c r="L39" s="2798" t="s">
        <v>2571</v>
      </c>
      <c r="M39" s="2798">
        <v>6</v>
      </c>
    </row>
    <row r="40" spans="1:13">
      <c r="A40" s="2783" t="s">
        <v>2542</v>
      </c>
      <c r="B40" s="2784"/>
      <c r="C40" s="2784"/>
      <c r="D40" s="2784"/>
      <c r="E40" s="2784"/>
      <c r="F40" s="2784"/>
      <c r="G40" s="2785"/>
      <c r="I40" s="2798">
        <v>35</v>
      </c>
      <c r="J40" s="2798">
        <v>97.2</v>
      </c>
      <c r="K40" s="2798">
        <f t="shared" si="3"/>
        <v>3.4000000000000057</v>
      </c>
      <c r="L40" s="2798" t="s">
        <v>2572</v>
      </c>
      <c r="M40" s="2798">
        <v>3</v>
      </c>
    </row>
    <row r="41" spans="1:13">
      <c r="A41" s="2786" t="s">
        <v>2543</v>
      </c>
      <c r="B41" s="2787" t="s">
        <v>2544</v>
      </c>
      <c r="C41" s="2788" t="s">
        <v>2545</v>
      </c>
      <c r="D41" s="2788" t="s">
        <v>2546</v>
      </c>
      <c r="E41" s="2789"/>
      <c r="F41" s="2790"/>
      <c r="G41" s="2791"/>
      <c r="I41" s="2798">
        <v>40</v>
      </c>
      <c r="J41" s="2798">
        <v>100</v>
      </c>
      <c r="K41" s="2798">
        <f t="shared" si="3"/>
        <v>2.7999999999999972</v>
      </c>
    </row>
    <row r="42" spans="1:13">
      <c r="A42" s="2786" t="s">
        <v>2547</v>
      </c>
      <c r="B42" s="2787" t="s">
        <v>2548</v>
      </c>
      <c r="C42" s="2788" t="s">
        <v>2549</v>
      </c>
      <c r="D42" s="2792" t="s">
        <v>2550</v>
      </c>
      <c r="E42" s="2784" t="s">
        <v>2551</v>
      </c>
      <c r="F42" s="2784"/>
      <c r="G42" s="2785"/>
    </row>
    <row r="43" spans="1:13">
      <c r="A43" s="2786" t="s">
        <v>2552</v>
      </c>
      <c r="B43" s="2787" t="s">
        <v>2553</v>
      </c>
      <c r="C43" s="2788" t="s">
        <v>2554</v>
      </c>
      <c r="D43" s="2788" t="s">
        <v>2555</v>
      </c>
      <c r="E43" s="2789" t="s">
        <v>2556</v>
      </c>
      <c r="F43" s="2790"/>
      <c r="G43" s="2791"/>
      <c r="I43" s="2798" t="s">
        <v>2564</v>
      </c>
      <c r="J43" s="2798" t="s">
        <v>2575</v>
      </c>
    </row>
    <row r="44" spans="1:13">
      <c r="A44" s="2786" t="s">
        <v>2557</v>
      </c>
      <c r="B44" s="2787" t="s">
        <v>2558</v>
      </c>
      <c r="C44" s="2788" t="s">
        <v>2559</v>
      </c>
      <c r="D44" s="2792">
        <v>0.5</v>
      </c>
      <c r="E44" s="2789" t="s">
        <v>2560</v>
      </c>
      <c r="F44" s="2790"/>
      <c r="G44" s="2791"/>
      <c r="I44" s="2798">
        <v>30</v>
      </c>
      <c r="J44" s="2798">
        <v>81.7</v>
      </c>
    </row>
    <row r="45" spans="1:13" ht="14.25" thickBot="1">
      <c r="A45" s="2793" t="s">
        <v>2561</v>
      </c>
      <c r="B45" s="2794" t="s">
        <v>2548</v>
      </c>
      <c r="C45" s="2795" t="s">
        <v>2548</v>
      </c>
      <c r="D45" s="2795" t="s">
        <v>2562</v>
      </c>
      <c r="E45" s="2796" t="s">
        <v>2563</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B4" zoomScaleNormal="100" zoomScaleSheetLayoutView="100" workbookViewId="0">
      <selection activeCell="I14" sqref="I14"/>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192" t="str">
        <f>IF(B10="北京市","北京市",C10)&amp;F10&amp;IF(结果表!G1="在建","出让国有建设用地使用权及在建建筑物",IF(结果表!G1="土地","出让国有建设用地使用权",))&amp;B9&amp;"预评估"</f>
        <v>重庆市永川区房地产抵押价值预评估</v>
      </c>
      <c r="C1" s="3193"/>
      <c r="D1" s="3193"/>
      <c r="E1" s="3193"/>
      <c r="F1" s="3193"/>
      <c r="G1" s="3193"/>
      <c r="H1" s="3193"/>
      <c r="I1" s="3194"/>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重庆市永川区房地产抵押价值</v>
      </c>
      <c r="T1" s="1617"/>
      <c r="U1" s="1617"/>
      <c r="V1" s="1617"/>
      <c r="W1" s="1617"/>
      <c r="X1" s="1617"/>
      <c r="Y1" s="1617"/>
      <c r="Z1" s="1617"/>
      <c r="AA1" s="1617"/>
      <c r="AB1" s="1617"/>
    </row>
    <row r="2" spans="1:30">
      <c r="A2" s="2181" t="s">
        <v>2169</v>
      </c>
      <c r="B2" s="122"/>
      <c r="D2" s="2446"/>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重庆市永川区房地产</v>
      </c>
      <c r="T2" s="1617"/>
      <c r="U2" s="1617"/>
      <c r="V2" s="1617"/>
      <c r="W2" s="1617"/>
      <c r="X2" s="1617"/>
      <c r="Y2" s="1617"/>
      <c r="Z2" s="1617"/>
      <c r="AA2" s="1617"/>
      <c r="AB2" s="1617"/>
    </row>
    <row r="3" spans="1:30">
      <c r="A3" s="294" t="s">
        <v>2170</v>
      </c>
      <c r="B3" s="2184"/>
      <c r="C3" s="2185" t="s">
        <v>2171</v>
      </c>
      <c r="D3" s="2184">
        <v>45544</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t="s">
        <v>3384</v>
      </c>
      <c r="C8" s="2200"/>
      <c r="D8" s="3195" t="s">
        <v>2177</v>
      </c>
      <c r="E8" s="2201" t="s">
        <v>3385</v>
      </c>
      <c r="F8" s="2202"/>
      <c r="G8" s="2441"/>
      <c r="H8" s="2441"/>
      <c r="I8" s="2441"/>
      <c r="J8" s="2244"/>
      <c r="K8" s="2399"/>
      <c r="L8" s="2398"/>
      <c r="M8" s="2398"/>
      <c r="N8" s="2244"/>
      <c r="O8" s="1669"/>
      <c r="P8" s="2244"/>
      <c r="Q8" s="2244"/>
      <c r="R8" s="2244"/>
    </row>
    <row r="9" spans="1:30" ht="13.5" thickBot="1">
      <c r="A9" s="2203" t="s">
        <v>2178</v>
      </c>
      <c r="B9" s="2204" t="s">
        <v>3385</v>
      </c>
      <c r="C9" s="2205"/>
      <c r="D9" s="3196"/>
      <c r="E9" s="2204" t="s">
        <v>587</v>
      </c>
      <c r="F9" s="2206"/>
      <c r="G9" s="2442"/>
      <c r="H9" s="2442"/>
      <c r="I9" s="2442"/>
      <c r="J9" s="2244"/>
      <c r="K9" s="2401"/>
      <c r="L9" s="2398"/>
      <c r="M9" s="2398"/>
      <c r="N9" s="2244"/>
      <c r="O9" s="1669"/>
      <c r="P9" s="2244"/>
      <c r="Q9" s="2244"/>
      <c r="R9" s="2244"/>
    </row>
    <row r="10" spans="1:30" ht="13.5" thickTop="1">
      <c r="A10" s="2207" t="s">
        <v>2179</v>
      </c>
      <c r="B10" s="2208" t="s">
        <v>3440</v>
      </c>
      <c r="C10" s="2209"/>
      <c r="D10" s="2192"/>
      <c r="E10" s="2210" t="s">
        <v>2180</v>
      </c>
      <c r="F10" s="3147" t="s">
        <v>3441</v>
      </c>
      <c r="G10" s="2443"/>
      <c r="H10" s="2444"/>
      <c r="I10" s="2445"/>
      <c r="J10" s="2244"/>
      <c r="K10" s="2401"/>
      <c r="L10" s="2398"/>
      <c r="M10" s="2398"/>
      <c r="N10" s="2244"/>
      <c r="O10" s="1669"/>
      <c r="P10" s="2244"/>
      <c r="Q10" s="2244"/>
      <c r="R10" s="2244"/>
    </row>
    <row r="11" spans="1:30">
      <c r="A11" s="2211" t="s">
        <v>2181</v>
      </c>
      <c r="B11" s="2212" t="s">
        <v>3383</v>
      </c>
      <c r="C11" s="2213"/>
      <c r="D11" s="2214"/>
      <c r="E11" s="2181"/>
      <c r="F11" s="2181"/>
      <c r="G11" s="2181"/>
      <c r="H11" s="2181"/>
      <c r="I11" s="2181"/>
      <c r="J11" s="2800"/>
      <c r="K11" s="2398"/>
      <c r="L11" s="2398"/>
      <c r="M11" s="2398"/>
      <c r="N11" s="2244"/>
      <c r="O11" s="1669"/>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69"/>
      <c r="O12" s="2244"/>
      <c r="P12" s="2244"/>
      <c r="Q12" s="2244"/>
      <c r="AD12" s="1617"/>
    </row>
    <row r="13" spans="1:30">
      <c r="A13" s="3120" t="s">
        <v>3332</v>
      </c>
      <c r="B13" s="2217" t="s">
        <v>2190</v>
      </c>
      <c r="C13" s="803"/>
      <c r="D13" s="803">
        <v>54878</v>
      </c>
      <c r="E13" s="803"/>
      <c r="F13" s="803">
        <v>54878</v>
      </c>
      <c r="G13" s="803"/>
      <c r="H13" s="803"/>
      <c r="I13" s="803">
        <v>49855</v>
      </c>
      <c r="J13" s="2801"/>
      <c r="K13" s="2398"/>
      <c r="L13" s="2398"/>
      <c r="M13" s="2244"/>
      <c r="N13" s="1669"/>
      <c r="O13" s="2244"/>
      <c r="P13" s="2244"/>
      <c r="Q13" s="2244"/>
      <c r="AD13" s="1617"/>
    </row>
    <row r="14" spans="1:30">
      <c r="A14" s="1018"/>
      <c r="B14" s="2217" t="s">
        <v>2191</v>
      </c>
      <c r="C14" s="2218"/>
      <c r="D14" s="2218">
        <v>40</v>
      </c>
      <c r="E14" s="2218">
        <v>50</v>
      </c>
      <c r="F14" s="2218">
        <v>40</v>
      </c>
      <c r="G14" s="2218"/>
      <c r="H14" s="2218"/>
      <c r="I14" s="2218"/>
      <c r="J14" s="2802"/>
      <c r="K14" s="2398"/>
      <c r="L14" s="2398"/>
      <c r="M14" s="2244"/>
      <c r="N14" s="1669"/>
      <c r="O14" s="2244"/>
      <c r="P14" s="2244"/>
      <c r="Q14" s="2244"/>
      <c r="AD14" s="1617"/>
    </row>
    <row r="15" spans="1:30">
      <c r="A15" s="312"/>
      <c r="B15" s="2219" t="s">
        <v>2192</v>
      </c>
      <c r="C15" s="2220" t="str">
        <f>IF(A13="出让",IF(C13="","",ROUNDDOWN(MIN((C13-$D$3)/365,C14),2)),C14)</f>
        <v/>
      </c>
      <c r="D15" s="2220">
        <f>IF(A13="出让",IF(D13="","",ROUNDDOWN(MIN((D13-$D$3)/365,D14),2)),D14)</f>
        <v>25.57</v>
      </c>
      <c r="E15" s="2220" t="str">
        <f>IF(A13="出让",IF(E13="","",ROUNDDOWN(MIN((E13-$D$3)/365,E14),2)),E14)</f>
        <v/>
      </c>
      <c r="F15" s="2220">
        <f>IF(A13="出让",IF(F13="","",ROUNDDOWN(MIN((F13-$D$3)/365,F14),2)),F14)</f>
        <v>25.57</v>
      </c>
      <c r="G15" s="2220" t="str">
        <f>IF(A13="出让",IF(G13="","",ROUNDDOWN(MIN((G13-$D$3)/365,G14),2)),G14)</f>
        <v/>
      </c>
      <c r="H15" s="2220" t="str">
        <f>IF(A13="出让",IF(H13="","",ROUNDDOWN(MIN((H13-$D$3)/365,H14),2)),H14)</f>
        <v/>
      </c>
      <c r="I15" s="2220">
        <f>IF(A13="出让",IF(I13="","",ROUNDDOWN(MIN((I13-$D$3)/365,I14),2)),I14)</f>
        <v>11.81</v>
      </c>
      <c r="J15" s="2803"/>
      <c r="K15" s="1669"/>
      <c r="L15" s="1669"/>
      <c r="M15" s="2244"/>
      <c r="N15" s="1669"/>
      <c r="O15" s="2244"/>
      <c r="P15" s="2244"/>
      <c r="Q15" s="2244"/>
      <c r="AD15" s="1617"/>
    </row>
    <row r="16" spans="1:30">
      <c r="A16" s="2210" t="s">
        <v>2193</v>
      </c>
      <c r="B16" s="3202"/>
      <c r="C16" s="3203"/>
      <c r="D16" s="3204"/>
      <c r="E16" s="2221" t="s">
        <v>2194</v>
      </c>
      <c r="F16" s="3205"/>
      <c r="G16" s="3206"/>
      <c r="H16" s="3206"/>
      <c r="I16" s="3207"/>
      <c r="J16" s="2244"/>
      <c r="K16" s="2402"/>
      <c r="L16" s="1669"/>
      <c r="M16" s="1669"/>
      <c r="N16" s="2244"/>
      <c r="O16" s="1669"/>
      <c r="P16" s="2244"/>
      <c r="Q16" s="2244"/>
      <c r="R16" s="2244"/>
    </row>
    <row r="17" spans="1:28">
      <c r="A17" s="305" t="s">
        <v>2195</v>
      </c>
      <c r="B17" s="294" t="s">
        <v>2196</v>
      </c>
      <c r="C17" s="8">
        <f>'数据-汇总表'!E3</f>
        <v>2375.33</v>
      </c>
      <c r="D17" s="1255" t="s">
        <v>2197</v>
      </c>
      <c r="E17" s="3208" t="s">
        <v>2198</v>
      </c>
      <c r="F17" s="3209"/>
      <c r="G17" s="3209"/>
      <c r="H17" s="3209"/>
      <c r="I17" s="3210"/>
      <c r="J17" s="2244"/>
      <c r="K17" s="2403"/>
      <c r="L17" s="1669"/>
      <c r="M17" s="1669"/>
      <c r="N17" s="2244"/>
      <c r="O17" s="1669"/>
      <c r="P17" s="2244"/>
      <c r="Q17" s="2244"/>
      <c r="R17" s="2244"/>
      <c r="S17" s="2244"/>
      <c r="T17" s="2244"/>
      <c r="U17" s="2244"/>
      <c r="V17" s="2244"/>
    </row>
    <row r="18" spans="1:28" ht="24.75" thickBot="1">
      <c r="A18" s="2222" t="s">
        <v>2199</v>
      </c>
      <c r="B18" s="1027" t="s">
        <v>2200</v>
      </c>
      <c r="C18" s="2223">
        <f>'数据-汇总表'!D3</f>
        <v>0</v>
      </c>
      <c r="D18" s="1029" t="s">
        <v>2201</v>
      </c>
      <c r="E18" s="3211" t="s">
        <v>2202</v>
      </c>
      <c r="F18" s="3212"/>
      <c r="G18" s="3212"/>
      <c r="H18" s="3212"/>
      <c r="I18" s="3213"/>
      <c r="J18" s="2244"/>
      <c r="K18" s="2403"/>
      <c r="L18" s="1669"/>
      <c r="M18" s="1669"/>
      <c r="N18" s="2244"/>
      <c r="O18" s="1669"/>
      <c r="P18" s="2244"/>
      <c r="Q18" s="2244"/>
      <c r="R18" s="2244"/>
      <c r="S18" s="2244"/>
      <c r="T18" s="2244"/>
      <c r="U18" s="2244"/>
      <c r="V18" s="2244"/>
    </row>
    <row r="19" spans="1:28" ht="37.5" thickTop="1" thickBot="1">
      <c r="A19" s="319" t="s">
        <v>1055</v>
      </c>
      <c r="B19" s="299" t="s">
        <v>2203</v>
      </c>
      <c r="C19" s="1454"/>
      <c r="D19" s="1455" t="s">
        <v>2204</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2205</v>
      </c>
      <c r="B20" s="3198" t="s">
        <v>2206</v>
      </c>
      <c r="C20" s="3199"/>
      <c r="D20" s="3200" t="s">
        <v>2207</v>
      </c>
      <c r="E20" s="3201"/>
      <c r="F20" s="2429" t="s">
        <v>1056</v>
      </c>
      <c r="G20" s="2441"/>
      <c r="H20" s="2441"/>
      <c r="I20" s="2441"/>
      <c r="J20" s="2244"/>
      <c r="K20" s="3197"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2209</v>
      </c>
      <c r="C21" s="2295" t="s">
        <v>1057</v>
      </c>
      <c r="D21" s="1459" t="s">
        <v>2210</v>
      </c>
      <c r="E21" s="2418" t="s">
        <v>1057</v>
      </c>
      <c r="F21" s="2430"/>
      <c r="G21" s="2441"/>
      <c r="H21" s="2441"/>
      <c r="I21" s="2441"/>
      <c r="J21" s="2244"/>
      <c r="K21" s="319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2211</v>
      </c>
      <c r="C22" s="2295" t="s">
        <v>1058</v>
      </c>
      <c r="D22" s="2441"/>
      <c r="E22" s="2441"/>
      <c r="F22" s="2441"/>
      <c r="G22" s="2441"/>
      <c r="H22" s="2441"/>
      <c r="I22" s="2441"/>
      <c r="J22" s="2244"/>
      <c r="K22" s="319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2212</v>
      </c>
      <c r="B23" s="2292" t="s">
        <v>2213</v>
      </c>
      <c r="C23" s="2421"/>
      <c r="D23" s="2422" t="s">
        <v>2213</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15" t="s">
        <v>2214</v>
      </c>
      <c r="B27" s="312" t="s">
        <v>2215</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15"/>
      <c r="B28" s="294"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15"/>
      <c r="B29" s="294"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16"/>
      <c r="B30" s="294" t="s">
        <v>2218</v>
      </c>
      <c r="C30" s="3217"/>
      <c r="D30" s="3218"/>
      <c r="E30" s="2441"/>
      <c r="F30" s="2441"/>
      <c r="G30" s="2441"/>
      <c r="H30" s="2441"/>
      <c r="I30" s="2441"/>
      <c r="J30" s="2244"/>
      <c r="K30" s="2401"/>
      <c r="L30" s="2398"/>
      <c r="M30" s="2398"/>
      <c r="N30" s="2244"/>
      <c r="O30" s="1669"/>
      <c r="P30" s="2244"/>
      <c r="Q30" s="2244"/>
      <c r="R30" s="2244"/>
      <c r="S30" s="2244"/>
      <c r="T30" s="2244"/>
      <c r="U30" s="2244"/>
      <c r="V30" s="2244"/>
    </row>
    <row r="31" spans="1:28">
      <c r="A31" s="3219" t="s">
        <v>2219</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20"/>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20"/>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214" t="s">
        <v>2228</v>
      </c>
      <c r="T34" s="315" t="str">
        <f>NUMBERSTRING(7-K34,1)&amp;"通"</f>
        <v>七通</v>
      </c>
      <c r="U34" s="2244"/>
      <c r="V34" s="2244"/>
    </row>
    <row r="35" spans="1:30">
      <c r="A35" s="2235"/>
      <c r="B35" s="3214" t="s">
        <v>2229</v>
      </c>
      <c r="C35" s="3214"/>
      <c r="D35" s="3214"/>
      <c r="E35" s="3214"/>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4"/>
      <c r="T35" s="138" t="str">
        <f>IF(T34="一通",L35,IF(T34="二通",M35,IF(T34="三通",N35,IF(T34="四通",O35,IF(T34="五通",P35,IF(T34="六通",Q35,R35))))))</f>
        <v>、、、、、、</v>
      </c>
      <c r="U35" s="2244"/>
      <c r="V35" s="2244"/>
    </row>
    <row r="36" spans="1:30">
      <c r="A36" s="2182"/>
      <c r="B36" s="8" t="s">
        <v>2185</v>
      </c>
      <c r="C36" s="8" t="s">
        <v>2186</v>
      </c>
      <c r="D36" s="8" t="s">
        <v>2184</v>
      </c>
      <c r="E36" s="8" t="s">
        <v>2189</v>
      </c>
      <c r="F36" s="2799" t="s">
        <v>2579</v>
      </c>
      <c r="G36" s="2441"/>
      <c r="H36" s="2441"/>
      <c r="I36" s="2441"/>
      <c r="J36" s="2244"/>
      <c r="K36" s="2401"/>
      <c r="L36" s="2398"/>
      <c r="M36" s="2398"/>
      <c r="N36" s="2244"/>
      <c r="O36" s="1669"/>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2231</v>
      </c>
      <c r="B38" s="2237"/>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2233</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5" customFormat="1">
      <c r="A43" s="1461"/>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5" customFormat="1">
      <c r="A44" s="1461"/>
      <c r="B44" s="1461"/>
      <c r="C44" s="628"/>
      <c r="D44" s="628"/>
      <c r="E44" s="628"/>
      <c r="F44" s="628"/>
      <c r="G44" s="628"/>
      <c r="H44" s="628"/>
      <c r="I44" s="628"/>
      <c r="J44" s="2242"/>
      <c r="K44" s="2243"/>
      <c r="L44" s="2243"/>
      <c r="M44" s="628"/>
      <c r="N44" s="628"/>
      <c r="O44" s="628"/>
      <c r="P44" s="628"/>
      <c r="Q44" s="628"/>
      <c r="R44" s="628"/>
      <c r="S44" s="2244"/>
      <c r="T44" s="2244"/>
      <c r="U44" s="2244"/>
      <c r="V44" s="2244"/>
    </row>
    <row r="45" spans="1:30" s="1615" customFormat="1">
      <c r="A45" s="1461"/>
      <c r="B45" s="1461"/>
      <c r="C45" s="628"/>
      <c r="D45" s="628"/>
      <c r="E45" s="628"/>
      <c r="F45" s="628"/>
      <c r="G45" s="628"/>
      <c r="H45" s="628"/>
      <c r="I45" s="628"/>
      <c r="J45" s="2242"/>
      <c r="K45" s="2243"/>
      <c r="L45" s="2243"/>
      <c r="M45" s="628"/>
      <c r="N45" s="628"/>
      <c r="O45" s="628"/>
      <c r="P45" s="628"/>
      <c r="Q45" s="628"/>
      <c r="R45" s="628"/>
      <c r="S45" s="2244"/>
      <c r="T45" s="2244"/>
      <c r="U45" s="2244"/>
      <c r="V45" s="2244"/>
    </row>
    <row r="46" spans="1:30" s="1615" customFormat="1">
      <c r="A46" s="1461"/>
      <c r="B46" s="1461"/>
      <c r="C46" s="628"/>
      <c r="D46" s="628"/>
      <c r="E46" s="628"/>
      <c r="F46" s="628"/>
      <c r="G46" s="628"/>
      <c r="H46" s="628"/>
      <c r="I46" s="628"/>
      <c r="J46" s="2242"/>
      <c r="K46" s="2243"/>
      <c r="L46" s="2243"/>
      <c r="M46" s="628"/>
      <c r="N46" s="628"/>
      <c r="O46" s="628"/>
      <c r="P46" s="628"/>
      <c r="Q46" s="628"/>
      <c r="R46" s="628"/>
      <c r="S46" s="2244"/>
      <c r="T46" s="2244"/>
      <c r="U46" s="2244"/>
      <c r="V46" s="2244"/>
    </row>
    <row r="47" spans="1:30" s="1615" customFormat="1">
      <c r="A47" s="1461"/>
      <c r="B47" s="1461"/>
      <c r="C47" s="628"/>
      <c r="D47" s="628"/>
      <c r="E47" s="628"/>
      <c r="F47" s="628"/>
      <c r="G47" s="628"/>
      <c r="H47" s="628"/>
      <c r="I47" s="628"/>
      <c r="J47" s="2242"/>
      <c r="K47" s="2243"/>
      <c r="L47" s="2243"/>
      <c r="M47" s="628"/>
      <c r="N47" s="628"/>
      <c r="O47" s="628"/>
      <c r="P47" s="628"/>
      <c r="Q47" s="628"/>
      <c r="R47" s="628"/>
      <c r="S47" s="2244"/>
      <c r="T47" s="2244"/>
      <c r="U47" s="2244"/>
      <c r="V47" s="2244"/>
    </row>
    <row r="48" spans="1:30" s="1615" customFormat="1">
      <c r="A48" s="1461"/>
      <c r="B48" s="1461"/>
      <c r="C48" s="628"/>
      <c r="D48" s="628"/>
      <c r="E48" s="628"/>
      <c r="F48" s="628"/>
      <c r="G48" s="628"/>
      <c r="H48" s="628"/>
      <c r="I48" s="628"/>
      <c r="J48" s="2242"/>
      <c r="K48" s="2243"/>
      <c r="L48" s="2243"/>
      <c r="M48" s="628"/>
      <c r="N48" s="628"/>
      <c r="O48" s="628"/>
      <c r="P48" s="628"/>
      <c r="Q48" s="628"/>
      <c r="R48" s="628"/>
      <c r="S48" s="2244"/>
      <c r="T48" s="2244"/>
      <c r="U48" s="2244"/>
      <c r="V48" s="2244"/>
    </row>
    <row r="49" spans="1:22" s="1615" customFormat="1">
      <c r="A49" s="1461"/>
      <c r="B49" s="1461"/>
      <c r="C49" s="628"/>
      <c r="D49" s="628"/>
      <c r="E49" s="628"/>
      <c r="F49" s="628"/>
      <c r="G49" s="628"/>
      <c r="H49" s="628"/>
      <c r="I49" s="628"/>
      <c r="J49" s="2242"/>
      <c r="K49" s="2243"/>
      <c r="L49" s="2243"/>
      <c r="M49" s="628"/>
      <c r="N49" s="628"/>
      <c r="O49" s="628"/>
      <c r="P49" s="628"/>
      <c r="Q49" s="628"/>
      <c r="R49" s="628"/>
      <c r="S49" s="2244"/>
      <c r="T49" s="2244"/>
      <c r="U49" s="2244"/>
      <c r="V49" s="2244"/>
    </row>
    <row r="50" spans="1:22" s="1615" customFormat="1">
      <c r="A50" s="1461"/>
      <c r="B50" s="1461"/>
      <c r="C50" s="628"/>
      <c r="D50" s="628"/>
      <c r="E50" s="628"/>
      <c r="F50" s="628"/>
      <c r="G50" s="628"/>
      <c r="H50" s="628"/>
      <c r="I50" s="628"/>
      <c r="J50" s="2242"/>
      <c r="K50" s="2243"/>
      <c r="L50" s="2243"/>
      <c r="M50" s="628"/>
      <c r="N50" s="628"/>
      <c r="O50" s="628"/>
      <c r="P50" s="628"/>
      <c r="Q50" s="628"/>
      <c r="R50" s="628"/>
      <c r="S50" s="2244"/>
      <c r="T50" s="2244"/>
      <c r="U50" s="2244"/>
      <c r="V50" s="2244"/>
    </row>
    <row r="51" spans="1:22" s="1615" customFormat="1">
      <c r="A51" s="1461"/>
      <c r="B51" s="1461"/>
      <c r="C51" s="628"/>
      <c r="D51" s="628"/>
      <c r="E51" s="628"/>
      <c r="F51" s="628"/>
      <c r="G51" s="628"/>
      <c r="H51" s="628"/>
      <c r="I51" s="628"/>
      <c r="J51" s="2242"/>
      <c r="K51" s="2243"/>
      <c r="L51" s="2243"/>
      <c r="M51" s="628"/>
      <c r="N51" s="628"/>
      <c r="O51" s="628"/>
      <c r="P51" s="628"/>
      <c r="Q51" s="628"/>
      <c r="R51" s="628"/>
    </row>
    <row r="52" spans="1:22" s="1615" customFormat="1">
      <c r="A52" s="1461"/>
      <c r="B52" s="1461"/>
      <c r="C52" s="1461"/>
      <c r="D52" s="1461"/>
      <c r="E52" s="1461"/>
      <c r="F52" s="628"/>
      <c r="G52" s="1461"/>
      <c r="H52" s="1461"/>
      <c r="I52" s="1461"/>
      <c r="J52" s="2245"/>
      <c r="K52" s="2243"/>
      <c r="L52" s="2243"/>
      <c r="M52" s="2243"/>
      <c r="N52" s="1461"/>
      <c r="O52" s="1461"/>
      <c r="P52" s="1461"/>
      <c r="Q52" s="1461"/>
      <c r="R52" s="1461"/>
    </row>
    <row r="53" spans="1:22" s="1615" customFormat="1">
      <c r="A53" s="1461"/>
      <c r="B53" s="1461"/>
      <c r="C53" s="1461"/>
      <c r="D53" s="1461"/>
      <c r="E53" s="1461"/>
      <c r="F53" s="628"/>
      <c r="G53" s="1461"/>
      <c r="H53" s="1461"/>
      <c r="I53" s="1461"/>
      <c r="J53" s="2245"/>
      <c r="K53" s="2243"/>
      <c r="L53" s="2243"/>
      <c r="M53" s="2243"/>
      <c r="N53" s="1461"/>
      <c r="O53" s="1461"/>
      <c r="P53" s="1461"/>
      <c r="Q53" s="1461"/>
      <c r="R53" s="1461"/>
    </row>
    <row r="54" spans="1:22" s="1615" customFormat="1">
      <c r="A54" s="1461"/>
      <c r="B54" s="1461"/>
      <c r="C54" s="1461"/>
      <c r="D54" s="1461"/>
      <c r="E54" s="1461"/>
      <c r="F54" s="628"/>
      <c r="G54" s="1461"/>
      <c r="H54" s="1461"/>
      <c r="I54" s="1461"/>
      <c r="J54" s="2245"/>
      <c r="K54" s="2243"/>
      <c r="L54" s="2243"/>
      <c r="M54" s="2243"/>
      <c r="N54" s="1461"/>
      <c r="O54" s="1461"/>
      <c r="P54" s="1461"/>
      <c r="Q54" s="1461"/>
      <c r="R54" s="1461"/>
    </row>
    <row r="55" spans="1:22" s="1615" customFormat="1">
      <c r="A55" s="1461"/>
      <c r="B55" s="1461"/>
      <c r="C55" s="1461"/>
      <c r="D55" s="1461"/>
      <c r="E55" s="1461"/>
      <c r="F55" s="628"/>
      <c r="G55" s="1461"/>
      <c r="H55" s="1461"/>
      <c r="I55" s="1461"/>
      <c r="J55" s="2245"/>
      <c r="K55" s="2243"/>
      <c r="L55" s="2243"/>
      <c r="M55" s="2243"/>
      <c r="N55" s="1461"/>
      <c r="O55" s="1461"/>
      <c r="P55" s="1461"/>
      <c r="Q55" s="1461"/>
      <c r="R55" s="1461"/>
    </row>
    <row r="56" spans="1:22" s="1615" customFormat="1">
      <c r="A56" s="1461"/>
      <c r="B56" s="1461"/>
      <c r="C56" s="1461"/>
      <c r="D56" s="1461"/>
      <c r="E56" s="1461"/>
      <c r="F56" s="628"/>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2375.33</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2375.33</v>
      </c>
      <c r="H5" s="13">
        <f t="shared" ref="H5:AT5" si="0">SUM(H13:H656)</f>
        <v>2375.33</v>
      </c>
      <c r="I5" s="13">
        <f t="shared" si="0"/>
        <v>2375.33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2375.33</v>
      </c>
      <c r="BA5" s="15">
        <f t="shared" si="1"/>
        <v>2375.33</v>
      </c>
      <c r="BB5" s="15">
        <f t="shared" si="1"/>
        <v>2375.33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1091</v>
      </c>
      <c r="I9" s="1490" t="s">
        <v>3387</v>
      </c>
      <c r="J9" s="761"/>
      <c r="K9" s="1490" t="s">
        <v>3388</v>
      </c>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2.75">
      <c r="A10" s="1481"/>
      <c r="B10" s="1481"/>
      <c r="C10" s="1481"/>
      <c r="D10" s="1481"/>
      <c r="E10" s="1481"/>
      <c r="F10" s="1481"/>
      <c r="G10" s="1007"/>
      <c r="H10" s="25"/>
      <c r="I10" s="1490" t="s">
        <v>673</v>
      </c>
      <c r="J10" s="761"/>
      <c r="K10" s="1490" t="s">
        <v>673</v>
      </c>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t="str">
        <f>K9</f>
        <v>地下</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商业</v>
      </c>
      <c r="BC11" s="1486" t="str">
        <f>K10</f>
        <v>商业</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2243"/>
      <c r="D13" s="1512" t="s">
        <v>3386</v>
      </c>
      <c r="E13" s="13">
        <f>IF($C$3="是",ROUND($A$3*G13/$B$3,2),ROUND($A$3*(G13-AT13)/$B$3,2))</f>
        <v>0</v>
      </c>
      <c r="F13" s="29"/>
      <c r="G13" s="30">
        <f>H13+AC13+AT13</f>
        <v>2375.33</v>
      </c>
      <c r="H13" s="17">
        <f>SUMIF(I$12:AB$12,"总值",I13:AB13)</f>
        <v>2375.33</v>
      </c>
      <c r="I13" s="1513">
        <v>2375.33</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59">
        <f>ROUND($AY$6*AZ13/$AZ$5,2)</f>
        <v>0</v>
      </c>
      <c r="AZ13" s="13">
        <f>BA13+BL13</f>
        <v>2375.33</v>
      </c>
      <c r="BA13" s="13">
        <f>SUM(BB13:BK13)</f>
        <v>2375.33</v>
      </c>
      <c r="BB13" s="13">
        <f>IF($D13="是",I13-J13,0)</f>
        <v>2375.33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2243"/>
      <c r="D14" s="1512" t="s">
        <v>3386</v>
      </c>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2243"/>
      <c r="D15" s="1512" t="s">
        <v>3386</v>
      </c>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2243"/>
      <c r="D16" s="1512" t="s">
        <v>3386</v>
      </c>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2243"/>
      <c r="D17" s="1512" t="s">
        <v>3386</v>
      </c>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2243"/>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8"/>
  <sheetViews>
    <sheetView view="pageBreakPreview" topLeftCell="A4" zoomScale="85" zoomScaleNormal="100" zoomScaleSheetLayoutView="85" workbookViewId="0">
      <selection activeCell="F19" sqref="F19"/>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1"/>
      <c r="C1" s="1071"/>
      <c r="D1" s="1071"/>
      <c r="E1" s="1071"/>
      <c r="F1" s="1071"/>
      <c r="G1" s="1071"/>
      <c r="H1" s="1071"/>
      <c r="I1" s="1071"/>
      <c r="J1" s="1071"/>
      <c r="K1" s="1071"/>
      <c r="L1" s="1071"/>
      <c r="M1" s="1071"/>
      <c r="N1" s="1071"/>
      <c r="O1" s="1071"/>
      <c r="P1" s="1071"/>
    </row>
    <row r="2" spans="1:16" ht="15">
      <c r="A2" s="3230" t="s">
        <v>1131</v>
      </c>
      <c r="B2" s="3230"/>
      <c r="C2" s="3230"/>
      <c r="D2" s="748" t="s">
        <v>1107</v>
      </c>
      <c r="E2" s="1522" t="s">
        <v>1108</v>
      </c>
      <c r="F2" s="2438"/>
      <c r="G2" s="2431"/>
      <c r="H2" s="2432"/>
      <c r="I2" s="2145" t="s">
        <v>1132</v>
      </c>
      <c r="J2" s="2438"/>
      <c r="K2" s="2438"/>
      <c r="L2" s="2438"/>
      <c r="M2" s="2438"/>
      <c r="N2" s="2439"/>
      <c r="O2" s="2438"/>
      <c r="P2" s="2438"/>
    </row>
    <row r="3" spans="1:16" ht="15.75" thickBot="1">
      <c r="A3" s="3231" t="s">
        <v>1105</v>
      </c>
      <c r="B3" s="3231"/>
      <c r="C3" s="3231"/>
      <c r="D3" s="41">
        <f>'数据-基础表'!AY6</f>
        <v>0</v>
      </c>
      <c r="E3" s="41">
        <f>'数据-基础表'!AZ5</f>
        <v>2375.33</v>
      </c>
      <c r="F3" s="2438"/>
      <c r="G3" s="42"/>
      <c r="H3" s="43" t="s">
        <v>1106</v>
      </c>
      <c r="I3" s="802" t="e">
        <f>ROUND('数据-基础表'!B3/'数据-基础表'!A3,2)</f>
        <v>#DIV/0!</v>
      </c>
      <c r="J3" s="2438"/>
      <c r="K3" s="2438"/>
      <c r="L3" s="2438"/>
      <c r="M3" s="2438"/>
      <c r="N3" s="2439"/>
      <c r="O3" s="2438"/>
      <c r="P3" s="2438"/>
    </row>
    <row r="4" spans="1:16" ht="15">
      <c r="A4" s="3232"/>
      <c r="B4" s="3233"/>
      <c r="C4" s="3234"/>
      <c r="D4" s="1523" t="s">
        <v>1107</v>
      </c>
      <c r="E4" s="1524"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35" t="s">
        <v>1110</v>
      </c>
      <c r="C5" s="3235"/>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6"/>
      <c r="B6" s="3235" t="s">
        <v>1111</v>
      </c>
      <c r="C6" s="3235"/>
      <c r="D6" s="43">
        <f>ROUND($D$3*E6/$E$3,2)</f>
        <v>0</v>
      </c>
      <c r="E6" s="44">
        <f>E3-E5</f>
        <v>2375.33</v>
      </c>
      <c r="F6" s="2438"/>
      <c r="G6" s="1528" t="s">
        <v>1112</v>
      </c>
      <c r="H6" s="45" t="s">
        <v>1113</v>
      </c>
      <c r="I6" s="2434" t="e">
        <f>ROUND(F31/D31,2)</f>
        <v>#DIV/0!</v>
      </c>
      <c r="J6" s="2438"/>
      <c r="K6" s="2438"/>
      <c r="L6" s="2438"/>
      <c r="M6" s="2438"/>
      <c r="N6" s="2438"/>
      <c r="O6" s="2438"/>
      <c r="P6" s="2438"/>
    </row>
    <row r="7" spans="1:16" ht="15.75" thickBot="1">
      <c r="A7" s="3227"/>
      <c r="B7" s="3228"/>
      <c r="C7" s="3229"/>
      <c r="D7" s="1523" t="s">
        <v>1107</v>
      </c>
      <c r="E7" s="1527" t="s">
        <v>1114</v>
      </c>
      <c r="F7" s="2438"/>
      <c r="G7" s="2435" t="s">
        <v>1115</v>
      </c>
      <c r="H7" s="95"/>
      <c r="I7" s="2436" t="e">
        <f>I6</f>
        <v>#DIV/0!</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2375.33</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0</v>
      </c>
      <c r="E16" s="48">
        <f>SUM(E8:E15)</f>
        <v>2375.33</v>
      </c>
      <c r="F16" s="2438"/>
      <c r="G16" s="2438"/>
      <c r="H16" s="1530" t="s">
        <v>1135</v>
      </c>
      <c r="I16" s="1531"/>
      <c r="J16" s="1071"/>
      <c r="K16" s="3224" t="s">
        <v>1135</v>
      </c>
      <c r="L16" s="3225"/>
      <c r="M16" s="3225"/>
      <c r="N16" s="3225"/>
      <c r="O16" s="3225"/>
      <c r="P16" s="3226"/>
    </row>
    <row r="17" spans="1:19" ht="15">
      <c r="A17" s="1532" t="s">
        <v>1136</v>
      </c>
      <c r="B17" s="1533" t="s">
        <v>1137</v>
      </c>
      <c r="C17" s="1534" t="s">
        <v>1138</v>
      </c>
      <c r="D17" s="1535" t="s">
        <v>1126</v>
      </c>
      <c r="E17" s="1536" t="s">
        <v>1127</v>
      </c>
      <c r="F17" s="1537"/>
      <c r="G17" s="1538"/>
      <c r="H17" s="1539" t="s">
        <v>1139</v>
      </c>
      <c r="I17" s="1540" t="s">
        <v>1124</v>
      </c>
      <c r="J17" s="1071"/>
      <c r="K17" s="3221" t="s">
        <v>1140</v>
      </c>
      <c r="L17" s="3222"/>
      <c r="M17" s="3223"/>
      <c r="N17" s="3221" t="s">
        <v>1141</v>
      </c>
      <c r="O17" s="3222"/>
      <c r="P17" s="3223"/>
      <c r="R17" s="769" t="s">
        <v>1142</v>
      </c>
      <c r="S17" s="54"/>
    </row>
    <row r="18" spans="1:19" ht="15">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c r="A19" s="1548"/>
      <c r="B19" s="45" t="s">
        <v>1125</v>
      </c>
      <c r="C19" s="3114" t="s">
        <v>3442</v>
      </c>
      <c r="D19" s="43">
        <f>ROUND($D$3*E19/$E$3,2)</f>
        <v>0</v>
      </c>
      <c r="E19" s="51">
        <f t="shared" ref="E19:E26" si="1">SUM(F19:G19)</f>
        <v>2375.33</v>
      </c>
      <c r="F19" s="2556">
        <f>'数据-基础表'!I5</f>
        <v>2375.33</v>
      </c>
      <c r="G19" s="1242">
        <f>'数据-基础表'!K5</f>
        <v>0</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2375.33</v>
      </c>
    </row>
    <row r="20" spans="1:19">
      <c r="A20" s="1548"/>
      <c r="B20" s="45" t="s">
        <v>1153</v>
      </c>
      <c r="C20" s="3114"/>
      <c r="D20" s="43">
        <f t="shared" ref="D20:D26" si="6">ROUND($D$3*E20/$E$3,2)</f>
        <v>0</v>
      </c>
      <c r="E20" s="51">
        <f t="shared" si="1"/>
        <v>0</v>
      </c>
      <c r="F20" s="2556"/>
      <c r="G20" s="1242"/>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4"/>
      <c r="D21" s="43">
        <f t="shared" si="6"/>
        <v>0</v>
      </c>
      <c r="E21" s="51">
        <f t="shared" si="1"/>
        <v>0</v>
      </c>
      <c r="F21" s="2556"/>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2">
        <f>SUM(D19:D26)</f>
        <v>0</v>
      </c>
      <c r="E27" s="1073">
        <f>IF(SUM(E19:E26)='数据-基础表'!BA5,SUM(E19:E26),IF(F27="地上面积有误","面积有误","地下面积有误"))</f>
        <v>2375.33</v>
      </c>
      <c r="F27" s="1072">
        <f>IF(SUM(F19:F26)=E8,SUM(F19:F26),"地上面积有误")</f>
        <v>2375.33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2375.33</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6"/>
      <c r="B31" s="96"/>
      <c r="C31" s="785" t="s">
        <v>1158</v>
      </c>
      <c r="D31" s="643">
        <f>D27+D30</f>
        <v>0</v>
      </c>
      <c r="E31" s="643">
        <f>E27+E30</f>
        <v>2375.33</v>
      </c>
      <c r="F31" s="644">
        <f>F27+F30</f>
        <v>2375.33</v>
      </c>
      <c r="G31" s="645">
        <f>G27+G30</f>
        <v>0</v>
      </c>
      <c r="H31" s="2438"/>
      <c r="I31" s="2438"/>
      <c r="J31" s="2438"/>
      <c r="K31" s="2438"/>
      <c r="L31" s="2438"/>
      <c r="M31" s="2438"/>
      <c r="N31" s="2438"/>
      <c r="O31" s="2438"/>
      <c r="P31" s="2438"/>
    </row>
    <row r="32" spans="1:19">
      <c r="A32" s="1525"/>
      <c r="B32" s="1525" t="s">
        <v>1159</v>
      </c>
      <c r="C32" s="1525"/>
      <c r="D32" s="1525"/>
      <c r="E32" s="990">
        <f>SUMIF(C19:C26,"*住宅*",E19:E26)</f>
        <v>0</v>
      </c>
      <c r="F32" s="1525"/>
      <c r="G32" s="1525"/>
      <c r="H32" s="2438"/>
      <c r="I32" s="2438"/>
      <c r="J32" s="2438"/>
      <c r="K32" s="2438"/>
      <c r="L32" s="2438"/>
      <c r="M32" s="2438"/>
      <c r="N32" s="2438"/>
      <c r="O32" s="2438"/>
      <c r="P32" s="2438"/>
    </row>
    <row r="33" spans="4:8">
      <c r="D33" s="1557"/>
    </row>
    <row r="35" spans="4:8">
      <c r="F35" s="1521">
        <v>4</v>
      </c>
      <c r="G35" s="1521">
        <v>2</v>
      </c>
      <c r="H35" s="1521">
        <v>0.6</v>
      </c>
    </row>
    <row r="36" spans="4:8">
      <c r="E36" s="1521" t="e">
        <f>F36+G36+H36</f>
        <v>#REF!</v>
      </c>
      <c r="F36" s="1521">
        <f>F35*F31</f>
        <v>9501.32</v>
      </c>
      <c r="G36" s="1521" t="e">
        <f>G35*G38</f>
        <v>#REF!</v>
      </c>
      <c r="H36" s="1521" t="e">
        <f>H35*H38</f>
        <v>#REF!</v>
      </c>
    </row>
    <row r="38" spans="4:8">
      <c r="G38" s="1521" t="e">
        <f>#REF!</f>
        <v>#REF!</v>
      </c>
      <c r="H38" s="1521" t="e">
        <f>#REF!</f>
        <v>#REF!</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24" sqref="L24"/>
    </sheetView>
  </sheetViews>
  <sheetFormatPr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9" style="122"/>
    <col min="68" max="16384" width="9"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0" customFormat="1" ht="15.75" thickBot="1">
      <c r="A2" s="1561" t="s">
        <v>1161</v>
      </c>
      <c r="B2" s="984">
        <f>项目基本情况!D3</f>
        <v>45544</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3389</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商业</v>
      </c>
      <c r="B6" s="1586" t="str">
        <f>IF(A6=0,"","经营性")</f>
        <v>经营性</v>
      </c>
      <c r="C6" s="1587" t="s">
        <v>673</v>
      </c>
      <c r="D6" s="805">
        <f>SUMIF(项目基本情况!C$12:I$12,C6,项目基本情况!C$14:I$14)</f>
        <v>40</v>
      </c>
      <c r="E6" s="804">
        <f>IF(B6="","",SUMIF(项目基本情况!C$12:I$12,C6,项目基本情况!C$13:I$13))</f>
        <v>54878</v>
      </c>
      <c r="F6" s="61">
        <f>SUMIF(项目基本情况!C$12:I$12,C6,项目基本情况!C$15:I$15)</f>
        <v>25.57</v>
      </c>
      <c r="G6" s="62">
        <f>IF(ISERROR(ROUND(POWER(1+H6,D6-F6)*(POWER(1+H6,F6)-1)/(POWER(1+H6,D6)-1),3)),0,ROUND(POWER(1+H6,D6-F6)*(POWER(1+H6,F6)-1)/(POWER(1+H6,D6)-1),3))</f>
        <v>0.83099999999999996</v>
      </c>
      <c r="H6" s="691">
        <v>0.05</v>
      </c>
      <c r="I6" s="691">
        <v>5.5E-2</v>
      </c>
      <c r="J6" s="63">
        <v>7.0000000000000007E-2</v>
      </c>
      <c r="K6" s="970">
        <f>SUMIF('数据-汇总表'!C$19:C$33,A6,'数据-汇总表'!E$19:E$33)</f>
        <v>2375.33</v>
      </c>
      <c r="L6" s="692">
        <v>3000</v>
      </c>
      <c r="M6" s="64">
        <f t="shared" ref="M6:M14" si="0">ROUND(K6*L6/10000,0)</f>
        <v>713</v>
      </c>
      <c r="N6" s="690">
        <f>N20</f>
        <v>0.88</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5">
        <v>1.27</v>
      </c>
      <c r="V6" s="67">
        <v>0</v>
      </c>
      <c r="W6" s="67">
        <v>0</v>
      </c>
      <c r="X6" s="979"/>
      <c r="Y6" s="68">
        <f>N6</f>
        <v>0.88</v>
      </c>
      <c r="Z6" s="69">
        <f>2</f>
        <v>2</v>
      </c>
      <c r="AA6" s="63">
        <v>1.4999999999999999E-2</v>
      </c>
      <c r="AB6" s="63">
        <v>0.1</v>
      </c>
      <c r="AC6" s="979"/>
      <c r="AD6" s="70">
        <f>AD20</f>
        <v>0.64</v>
      </c>
      <c r="AE6" s="980">
        <f ca="1">IF(AN6="",0,SUMIF(INDIRECT("'"&amp;AN6&amp;"'"&amp;"!E:E"),$AE$5,INDIRECT("'"&amp;AN6&amp;"'"&amp;"!F:F")))</f>
        <v>25.57</v>
      </c>
      <c r="AF6" s="74">
        <f>项目基本情况!I15</f>
        <v>11.81</v>
      </c>
      <c r="AG6" s="130">
        <f ca="1">IF(AF6="",0,AE6-AF6)</f>
        <v>13.76</v>
      </c>
      <c r="AH6" s="71"/>
      <c r="AI6" s="73">
        <v>365</v>
      </c>
      <c r="AJ6" s="74"/>
      <c r="AK6" s="75">
        <v>5.0000000000000001E-3</v>
      </c>
      <c r="AL6" s="76">
        <v>1E-3</v>
      </c>
      <c r="AM6" s="77">
        <v>0.01</v>
      </c>
      <c r="AN6" s="1588" t="s">
        <v>3390</v>
      </c>
      <c r="AO6" s="50">
        <f ca="1">SUMIF(INDIRECT("'"&amp;AN6&amp;"'"&amp;"!A:A"),"总价",INDIRECT("'"&amp;AN6&amp;"'"&amp;"!B:B"))</f>
        <v>1460</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7"/>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7"/>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f>ROUND(SUMPRODUCT(G6:G13,K6:K13)/SUMPRODUCT((G6:G13&gt;0)*(K6:K13)),3)</f>
        <v>0.83099999999999996</v>
      </c>
      <c r="H16" s="84">
        <f>ROUND(SUMPRODUCT(H6:H13,K6:K13)/SUMPRODUCT((H6:H13&gt;0)*(K6:K13)),3)</f>
        <v>0.05</v>
      </c>
      <c r="I16" s="85"/>
      <c r="J16" s="85"/>
      <c r="K16" s="86">
        <f>SUM(K6:K15)</f>
        <v>2375.33</v>
      </c>
      <c r="L16" s="87">
        <f>ROUND(M16*10000/SUM(K6:K14),0)</f>
        <v>3002</v>
      </c>
      <c r="M16" s="87">
        <f>SUM(M6:M14)</f>
        <v>713</v>
      </c>
      <c r="N16" s="88">
        <f>ROUND(SUMPRODUCT(M6:M14,N6:N14)/M16,3)</f>
        <v>0.88</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5" t="s">
        <v>1211</v>
      </c>
      <c r="B19" s="97">
        <v>0</v>
      </c>
      <c r="C19" s="2559" t="s">
        <v>2301</v>
      </c>
      <c r="D19" s="2450"/>
      <c r="E19" s="2438"/>
      <c r="F19" s="2438"/>
      <c r="G19" s="2438"/>
      <c r="H19" s="2438"/>
      <c r="I19" s="2438"/>
      <c r="J19" s="2438"/>
      <c r="K19" s="2448"/>
      <c r="L19" s="2448"/>
      <c r="M19" s="2447"/>
      <c r="N19" s="2447">
        <v>2018</v>
      </c>
      <c r="O19" s="2447"/>
      <c r="P19" s="2447"/>
      <c r="Q19" s="2447"/>
      <c r="R19" s="2447"/>
      <c r="S19" s="2447"/>
      <c r="T19" s="2447"/>
      <c r="U19" s="2447"/>
      <c r="V19" s="2447"/>
      <c r="W19" s="2447"/>
      <c r="X19" s="2447"/>
      <c r="Y19" s="2447"/>
      <c r="Z19" s="2447"/>
      <c r="AA19" s="2447"/>
      <c r="AB19" s="2447"/>
      <c r="AC19" s="2447"/>
      <c r="AD19" s="2447">
        <v>2018</v>
      </c>
      <c r="AE19" s="2447"/>
      <c r="AF19" s="2447"/>
      <c r="AG19" s="2447"/>
      <c r="AH19" s="2447"/>
      <c r="AI19" s="2447"/>
      <c r="AJ19" s="2447"/>
      <c r="AK19" s="2447"/>
      <c r="AL19" s="2447"/>
      <c r="AM19" s="2447"/>
      <c r="AN19" s="2447"/>
      <c r="AO19" s="2447"/>
      <c r="AP19" s="2447"/>
      <c r="AQ19" s="2447"/>
      <c r="AR19" s="2447"/>
    </row>
    <row r="20" spans="1:44" ht="14.25">
      <c r="A20" s="1596" t="s">
        <v>1212</v>
      </c>
      <c r="B20" s="98">
        <v>1</v>
      </c>
      <c r="C20" s="2560" t="s">
        <v>2299</v>
      </c>
      <c r="D20" s="2450"/>
      <c r="E20" s="2438"/>
      <c r="F20" s="2438"/>
      <c r="G20" s="2438"/>
      <c r="H20" s="2438"/>
      <c r="I20" s="2438"/>
      <c r="J20" s="2438"/>
      <c r="K20" s="2448"/>
      <c r="L20" s="2448"/>
      <c r="M20" s="2447"/>
      <c r="N20" s="3148">
        <f>1-(2024-2018)/50</f>
        <v>0.88</v>
      </c>
      <c r="O20" s="2447"/>
      <c r="P20" s="2447"/>
      <c r="Q20" s="2447"/>
      <c r="R20" s="2447"/>
      <c r="S20" s="2447"/>
      <c r="T20" s="2447"/>
      <c r="U20" s="2447"/>
      <c r="V20" s="2447"/>
      <c r="W20" s="2447"/>
      <c r="X20" s="2447"/>
      <c r="Y20" s="2447"/>
      <c r="Z20" s="2447"/>
      <c r="AA20" s="2447"/>
      <c r="AB20" s="2447"/>
      <c r="AC20" s="2447"/>
      <c r="AD20" s="3148">
        <f>1-(2036-2018)/50</f>
        <v>0.64</v>
      </c>
      <c r="AE20" s="2447"/>
      <c r="AF20" s="2447"/>
      <c r="AG20" s="2447"/>
      <c r="AH20" s="2447"/>
      <c r="AI20" s="2447"/>
      <c r="AJ20" s="2447"/>
      <c r="AK20" s="2447"/>
      <c r="AL20" s="2447"/>
      <c r="AM20" s="2447"/>
      <c r="AN20" s="2447"/>
      <c r="AO20" s="2447"/>
      <c r="AP20" s="2447"/>
      <c r="AQ20" s="2447"/>
      <c r="AR20" s="2447"/>
    </row>
    <row r="21" spans="1:44" ht="14.25">
      <c r="A21" s="1597" t="s">
        <v>1213</v>
      </c>
      <c r="B21" s="98">
        <f>B20</f>
        <v>1</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6" t="s">
        <v>1214</v>
      </c>
      <c r="B22" s="99">
        <f>B19+B20</f>
        <v>1</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7" t="s">
        <v>1215</v>
      </c>
      <c r="B23" s="99">
        <f>B19+B21</f>
        <v>1</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8"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8"/>
      <c r="B25" s="1541"/>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1" t="s">
        <v>1217</v>
      </c>
      <c r="B26" s="1599"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0" t="s">
        <v>1220</v>
      </c>
      <c r="B27" s="101"/>
      <c r="C27" s="2561" t="s">
        <v>2303</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1"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2" t="s">
        <v>1222</v>
      </c>
      <c r="B29" s="105">
        <f>ROUND(B28*K16/10000,0)</f>
        <v>48</v>
      </c>
      <c r="C29" s="2562" t="s">
        <v>2292</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3"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1"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4"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0" t="s">
        <v>1226</v>
      </c>
      <c r="B33" s="640">
        <v>0.03</v>
      </c>
      <c r="C33" s="2563" t="s">
        <v>3381</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1" t="s">
        <v>1227</v>
      </c>
      <c r="B34" s="106">
        <v>0</v>
      </c>
      <c r="C34" s="2563" t="s">
        <v>2293</v>
      </c>
      <c r="D34" s="2458" t="s">
        <v>2300</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1" t="s">
        <v>1228</v>
      </c>
      <c r="B35" s="103">
        <v>200</v>
      </c>
      <c r="C35" s="2563" t="s">
        <v>2294</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2" t="s">
        <v>1229</v>
      </c>
      <c r="B36" s="107">
        <v>0.02</v>
      </c>
      <c r="C36" s="2563" t="s">
        <v>3382</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3" t="s">
        <v>1230</v>
      </c>
      <c r="B37" s="108">
        <v>0.02</v>
      </c>
      <c r="C37" s="2563" t="s">
        <v>2295</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1" t="s">
        <v>1231</v>
      </c>
      <c r="B38" s="106">
        <v>0.02</v>
      </c>
      <c r="C38" s="2563" t="s">
        <v>2295</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4"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2310</v>
      </c>
      <c r="B40" s="1015">
        <f ca="1">IF(A40="利息：取LPR",存贷款利率!G1,存贷款利率!G1+C40)</f>
        <v>3.3500000000000002E-2</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0" t="s">
        <v>1233</v>
      </c>
      <c r="B41" s="109">
        <f>B42+B43</f>
        <v>5.5000000000000007E-2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5"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5" t="s">
        <v>1235</v>
      </c>
      <c r="B43" s="111">
        <f>B42*(B44+B45+B46)+B47</f>
        <v>5.000000000000001E-3</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6" t="s">
        <v>1236</v>
      </c>
      <c r="B44" s="112">
        <v>0.05</v>
      </c>
      <c r="C44" s="2563" t="s">
        <v>2304</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6" t="s">
        <v>1237</v>
      </c>
      <c r="B45" s="110">
        <v>0.03</v>
      </c>
      <c r="C45" s="2562" t="s">
        <v>2296</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6" t="s">
        <v>1238</v>
      </c>
      <c r="B46" s="110">
        <v>0.02</v>
      </c>
      <c r="C46" s="2562" t="s">
        <v>2297</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7"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8" t="s">
        <v>1240</v>
      </c>
      <c r="B48" s="114">
        <v>0.03</v>
      </c>
      <c r="C48" s="2562" t="s">
        <v>2296</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4" t="s">
        <v>1241</v>
      </c>
      <c r="B49" s="110">
        <v>5.0000000000000001E-4</v>
      </c>
      <c r="C49" s="2562" t="s">
        <v>2298</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09"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2"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09" t="s">
        <v>1244</v>
      </c>
      <c r="B52" s="117">
        <f>SUMIF(A54:A63,B53,B54:B63)</f>
        <v>18</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1" t="s">
        <v>1245</v>
      </c>
      <c r="B53" s="1610" t="s">
        <v>296</v>
      </c>
      <c r="C53" s="2439" t="s">
        <v>1246</v>
      </c>
      <c r="D53" s="2564" t="s">
        <v>2302</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1" t="s">
        <v>1247</v>
      </c>
      <c r="B54" s="72">
        <v>30</v>
      </c>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1" t="s">
        <v>1248</v>
      </c>
      <c r="B55" s="72">
        <v>24</v>
      </c>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1" t="s">
        <v>1249</v>
      </c>
      <c r="B56" s="72">
        <v>18</v>
      </c>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1" t="s">
        <v>1250</v>
      </c>
      <c r="B57" s="72">
        <v>12</v>
      </c>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1" t="s">
        <v>1251</v>
      </c>
      <c r="B58" s="72">
        <v>3</v>
      </c>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1" t="s">
        <v>1252</v>
      </c>
      <c r="B59" s="72">
        <v>1.5</v>
      </c>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1"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1"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1"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2"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8" sqref="I8"/>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1"/>
  </cols>
  <sheetData>
    <row r="1" spans="1:29" s="2258" customFormat="1" ht="18.75" thickBot="1">
      <c r="A1" s="3236" t="s">
        <v>2284</v>
      </c>
      <c r="B1" s="3237"/>
      <c r="C1" s="3237"/>
      <c r="D1" s="3237"/>
      <c r="E1" s="3237"/>
      <c r="F1" s="3237"/>
      <c r="G1" s="3237"/>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2280</v>
      </c>
      <c r="D2" s="1594"/>
      <c r="E2" s="2259"/>
      <c r="F2" s="2262"/>
      <c r="G2" s="2261" t="s">
        <v>2281</v>
      </c>
      <c r="H2" s="751"/>
      <c r="I2" s="751"/>
      <c r="J2" s="751"/>
      <c r="K2" s="751"/>
      <c r="L2" s="751"/>
      <c r="M2" s="751"/>
      <c r="N2" s="751"/>
      <c r="O2" s="751"/>
      <c r="P2" s="751"/>
      <c r="Q2" s="751"/>
    </row>
    <row r="3" spans="1:29" ht="25.5">
      <c r="A3" s="2246" t="s">
        <v>2282</v>
      </c>
      <c r="B3" s="2263" t="s">
        <v>2252</v>
      </c>
      <c r="C3" s="2264"/>
      <c r="D3" s="2265"/>
      <c r="E3" s="2247" t="s">
        <v>2282</v>
      </c>
      <c r="F3" s="2266" t="s">
        <v>2253</v>
      </c>
      <c r="G3" s="2267" t="s">
        <v>2283</v>
      </c>
      <c r="H3" s="751"/>
      <c r="I3" s="751"/>
      <c r="J3" s="751"/>
      <c r="K3" s="751"/>
      <c r="L3" s="751"/>
      <c r="M3" s="751"/>
      <c r="N3" s="751"/>
      <c r="O3" s="751"/>
      <c r="P3" s="751"/>
      <c r="Q3" s="751"/>
    </row>
    <row r="4" spans="1:29" ht="36">
      <c r="A4" s="2247"/>
      <c r="B4" s="315" t="s">
        <v>2254</v>
      </c>
      <c r="C4" s="2268"/>
      <c r="D4" s="2265"/>
      <c r="E4" s="2269"/>
      <c r="F4" s="1280" t="s">
        <v>2255</v>
      </c>
      <c r="G4" s="2270" t="s">
        <v>2256</v>
      </c>
      <c r="H4" s="751"/>
      <c r="I4" s="751"/>
      <c r="J4" s="751"/>
      <c r="K4" s="751"/>
      <c r="L4" s="751"/>
      <c r="M4" s="751"/>
      <c r="N4" s="751"/>
      <c r="O4" s="751"/>
      <c r="P4" s="751"/>
      <c r="Q4" s="751"/>
    </row>
    <row r="5" spans="1:29" ht="36.75">
      <c r="A5" s="2247"/>
      <c r="B5" s="315" t="s">
        <v>2257</v>
      </c>
      <c r="C5" s="2268" t="s">
        <v>2258</v>
      </c>
      <c r="D5" s="2265"/>
      <c r="E5" s="2269"/>
      <c r="F5" s="315" t="s">
        <v>2259</v>
      </c>
      <c r="G5" s="2270" t="s">
        <v>2260</v>
      </c>
      <c r="H5" s="751"/>
      <c r="I5" s="751"/>
      <c r="J5" s="751"/>
      <c r="K5" s="751"/>
      <c r="L5" s="751"/>
      <c r="M5" s="751"/>
      <c r="N5" s="751"/>
      <c r="O5" s="751"/>
      <c r="P5" s="751"/>
      <c r="Q5" s="751"/>
    </row>
    <row r="6" spans="1:29" ht="36">
      <c r="A6" s="2247"/>
      <c r="B6" s="315" t="s">
        <v>2261</v>
      </c>
      <c r="C6" s="2270" t="s">
        <v>2256</v>
      </c>
      <c r="D6" s="2265"/>
      <c r="E6" s="2269"/>
      <c r="F6" s="315" t="s">
        <v>2262</v>
      </c>
      <c r="G6" s="2270" t="s">
        <v>2263</v>
      </c>
      <c r="H6" s="751"/>
      <c r="I6" s="751"/>
      <c r="J6" s="751"/>
      <c r="K6" s="751"/>
      <c r="L6" s="751"/>
      <c r="M6" s="751"/>
      <c r="N6" s="751"/>
      <c r="O6" s="751"/>
      <c r="P6" s="751"/>
      <c r="Q6" s="751"/>
    </row>
    <row r="7" spans="1:29" ht="24.75" thickBot="1">
      <c r="A7" s="2247"/>
      <c r="B7" s="315" t="s">
        <v>2259</v>
      </c>
      <c r="C7" s="2270" t="s">
        <v>2260</v>
      </c>
      <c r="D7" s="2244"/>
      <c r="E7" s="2271"/>
      <c r="F7" s="2272" t="s">
        <v>2264</v>
      </c>
      <c r="G7" s="2273" t="s">
        <v>2265</v>
      </c>
      <c r="H7" s="751"/>
      <c r="I7" s="751"/>
      <c r="J7" s="751"/>
      <c r="K7" s="751"/>
      <c r="L7" s="751"/>
      <c r="M7" s="751"/>
      <c r="N7" s="751"/>
      <c r="O7" s="751"/>
      <c r="P7" s="751"/>
      <c r="Q7" s="751"/>
    </row>
    <row r="8" spans="1:29">
      <c r="A8" s="2247"/>
      <c r="B8" s="315" t="s">
        <v>2262</v>
      </c>
      <c r="C8" s="2270" t="s">
        <v>2263</v>
      </c>
      <c r="D8" s="2244"/>
      <c r="E8" s="2244"/>
      <c r="F8" s="121"/>
      <c r="G8" s="121"/>
      <c r="H8" s="751"/>
      <c r="I8" s="751"/>
      <c r="J8" s="751"/>
      <c r="K8" s="751"/>
      <c r="L8" s="751"/>
      <c r="M8" s="751"/>
      <c r="N8" s="751"/>
      <c r="O8" s="751"/>
      <c r="P8" s="751"/>
      <c r="Q8" s="751"/>
    </row>
    <row r="9" spans="1:29" ht="24">
      <c r="A9" s="2247"/>
      <c r="B9" s="315" t="s">
        <v>2266</v>
      </c>
      <c r="C9" s="2268" t="s">
        <v>2267</v>
      </c>
      <c r="D9" s="2265"/>
      <c r="E9" s="2244"/>
      <c r="F9" s="121"/>
      <c r="G9" s="121"/>
      <c r="H9" s="751"/>
      <c r="I9" s="751"/>
      <c r="J9" s="751"/>
      <c r="K9" s="751"/>
      <c r="L9" s="751"/>
      <c r="M9" s="751"/>
      <c r="N9" s="751"/>
      <c r="O9" s="751"/>
      <c r="P9" s="751"/>
      <c r="Q9" s="751"/>
    </row>
    <row r="10" spans="1:29" ht="15" thickBot="1">
      <c r="A10" s="2248"/>
      <c r="B10" s="2274" t="s">
        <v>2268</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2285</v>
      </c>
      <c r="B13" s="2279"/>
      <c r="C13" s="2279"/>
      <c r="D13" s="2278"/>
      <c r="E13" s="2279"/>
      <c r="F13" s="2279"/>
      <c r="G13" s="2279"/>
    </row>
    <row r="14" spans="1:29" ht="15" thickBot="1">
      <c r="A14" s="2284"/>
      <c r="B14" s="2284"/>
      <c r="C14" s="2285" t="s">
        <v>2269</v>
      </c>
      <c r="D14" s="2265"/>
      <c r="E14" s="2286"/>
      <c r="F14" s="2286"/>
      <c r="G14" s="2261" t="s">
        <v>2270</v>
      </c>
    </row>
    <row r="15" spans="1:29" ht="25.5">
      <c r="A15" s="2249" t="s">
        <v>2271</v>
      </c>
      <c r="B15" s="2287" t="s">
        <v>2252</v>
      </c>
      <c r="C15" s="2288">
        <f>C3</f>
        <v>0</v>
      </c>
      <c r="D15" s="2265"/>
      <c r="E15" s="2250" t="s">
        <v>2272</v>
      </c>
      <c r="F15" s="2287" t="s">
        <v>2273</v>
      </c>
      <c r="G15" s="2289" t="str">
        <f>G3</f>
        <v>估价对象位于XX开发区，园区建设成熟度XX，产业集聚程度XX</v>
      </c>
    </row>
    <row r="16" spans="1:29" ht="38.25">
      <c r="A16" s="2251"/>
      <c r="B16" s="2290" t="s">
        <v>2254</v>
      </c>
      <c r="C16" s="2291">
        <f>C4</f>
        <v>0</v>
      </c>
      <c r="D16" s="2265"/>
      <c r="E16" s="2252"/>
      <c r="F16" s="2292" t="s">
        <v>2255</v>
      </c>
      <c r="G16" s="2293" t="str">
        <f>G4</f>
        <v>估价对象周边道路状况、公共交通通达情况、停车便捷程度，综合评价交通便捷度较好</v>
      </c>
    </row>
    <row r="17" spans="1:17" ht="38.25">
      <c r="A17" s="2251"/>
      <c r="B17" s="2290" t="s">
        <v>2257</v>
      </c>
      <c r="C17" s="2291" t="str">
        <f>C5</f>
        <v>估价对象位于XX商圈，周边办公楼项目较多，入驻率高，办公集聚程度较好</v>
      </c>
      <c r="D17" s="2244"/>
      <c r="E17" s="2252"/>
      <c r="F17" s="2292" t="s">
        <v>2274</v>
      </c>
      <c r="G17" s="2294"/>
    </row>
    <row r="18" spans="1:17" ht="38.25">
      <c r="A18" s="2251"/>
      <c r="B18" s="2292" t="s">
        <v>2261</v>
      </c>
      <c r="C18" s="2293" t="str">
        <f>C6</f>
        <v>估价对象周边道路状况、公共交通通达情况、停车便捷程度，综合评价交通便捷度较好</v>
      </c>
      <c r="D18" s="2244"/>
      <c r="E18" s="2252"/>
      <c r="F18" s="2292" t="s">
        <v>2264</v>
      </c>
      <c r="G18" s="2293" t="str">
        <f>G7</f>
        <v>该园区内是否有污染型企业，绿化情况，卫生条件，整体环境状况判断</v>
      </c>
    </row>
    <row r="19" spans="1:17" ht="25.5">
      <c r="A19" s="2251"/>
      <c r="B19" s="2292" t="s">
        <v>2275</v>
      </c>
      <c r="C19" s="2294"/>
      <c r="D19" s="2265"/>
      <c r="E19" s="2252"/>
      <c r="F19" s="315" t="s">
        <v>2259</v>
      </c>
      <c r="G19" s="2293" t="str">
        <f>G5</f>
        <v>估价对象所在区域公共配套设施齐备情况</v>
      </c>
    </row>
    <row r="20" spans="1:17" ht="25.5">
      <c r="A20" s="2251"/>
      <c r="B20" s="2292" t="s">
        <v>2276</v>
      </c>
      <c r="C20" s="2291" t="str">
        <f>C9</f>
        <v>区域自然环境：；人文环境；综合评价环境状况一般</v>
      </c>
      <c r="D20" s="2244"/>
      <c r="E20" s="2252"/>
      <c r="F20" s="315" t="s">
        <v>2262</v>
      </c>
      <c r="G20" s="2293" t="str">
        <f>G6</f>
        <v>估价对象所在区域基础设施水平</v>
      </c>
    </row>
    <row r="21" spans="1:17" ht="25.5">
      <c r="A21" s="2251"/>
      <c r="B21" s="315" t="s">
        <v>2259</v>
      </c>
      <c r="C21" s="2293" t="str">
        <f>C7</f>
        <v>估价对象所在区域公共配套设施齐备情况</v>
      </c>
      <c r="D21" s="2265"/>
      <c r="E21" s="2252"/>
      <c r="F21" s="2292" t="s">
        <v>2277</v>
      </c>
      <c r="G21" s="2295"/>
    </row>
    <row r="22" spans="1:17" ht="13.5" customHeight="1">
      <c r="A22" s="2251"/>
      <c r="B22" s="315" t="s">
        <v>2262</v>
      </c>
      <c r="C22" s="2293" t="str">
        <f>C8</f>
        <v>估价对象所在区域基础设施水平</v>
      </c>
      <c r="D22" s="2265"/>
      <c r="E22" s="2252"/>
      <c r="F22" s="2292" t="s">
        <v>2268</v>
      </c>
      <c r="G22" s="2294"/>
    </row>
    <row r="23" spans="1:17" s="751" customFormat="1" ht="15" thickBot="1">
      <c r="A23" s="2251"/>
      <c r="B23" s="2292" t="s">
        <v>2277</v>
      </c>
      <c r="C23" s="2295"/>
      <c r="D23" s="1613"/>
      <c r="E23" s="2253"/>
      <c r="F23" s="2296" t="s">
        <v>2278</v>
      </c>
      <c r="G23" s="2297"/>
      <c r="H23" s="2276"/>
      <c r="I23" s="2276"/>
      <c r="J23" s="2276"/>
      <c r="K23" s="2276"/>
      <c r="L23" s="2276"/>
      <c r="M23" s="2276"/>
      <c r="N23" s="2276"/>
      <c r="O23" s="2276"/>
      <c r="P23" s="2276"/>
      <c r="Q23" s="2276"/>
    </row>
    <row r="24" spans="1:17" s="751" customFormat="1" ht="15" thickBot="1">
      <c r="A24" s="2254"/>
      <c r="B24" s="2296" t="s">
        <v>2279</v>
      </c>
      <c r="C24" s="2298">
        <f>C10</f>
        <v>0</v>
      </c>
      <c r="D24" s="1613"/>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tabSelected="1" view="pageBreakPreview" zoomScale="80" zoomScaleNormal="80" zoomScaleSheetLayoutView="80" workbookViewId="0">
      <selection activeCell="K14" sqref="K14"/>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2375.33</v>
      </c>
      <c r="C1" s="2460"/>
      <c r="D1" s="2460"/>
      <c r="E1" s="2460"/>
      <c r="F1" s="2460"/>
      <c r="G1" s="2461"/>
      <c r="H1" s="2461"/>
      <c r="I1" s="2461"/>
      <c r="J1" s="2461"/>
      <c r="K1" s="2461"/>
    </row>
    <row r="2" spans="1:11" ht="16.5">
      <c r="A2" s="2299" t="s">
        <v>653</v>
      </c>
      <c r="B2" s="2299">
        <f>SUM(C14:C23)</f>
        <v>0</v>
      </c>
      <c r="C2" s="2460"/>
      <c r="D2" s="2460"/>
      <c r="E2" s="2460"/>
      <c r="F2" s="2460"/>
      <c r="G2" s="2461"/>
      <c r="H2" s="2461"/>
      <c r="I2" s="2461"/>
      <c r="J2" s="2461"/>
      <c r="K2" s="2461"/>
    </row>
    <row r="3" spans="1:11" ht="16.5">
      <c r="A3" s="2299" t="s">
        <v>662</v>
      </c>
      <c r="B3" s="2301">
        <f>项目基本情况!D3</f>
        <v>45544</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 ca="1">SUM(D14:D23)</f>
        <v>1567</v>
      </c>
      <c r="C5" s="2299">
        <f ca="1">IF(B5=D14,结果表!H102,ROUND(B5*10000/$B$1,0))</f>
        <v>6597</v>
      </c>
      <c r="D5" s="2299" t="e">
        <f ca="1">ROUND(B5*10000/$B$2,0)</f>
        <v>#DIV/0!</v>
      </c>
      <c r="E5" s="2460"/>
      <c r="F5" s="2461"/>
      <c r="G5" s="2461"/>
      <c r="H5" s="2461"/>
      <c r="I5" s="2461"/>
      <c r="J5" s="2461"/>
      <c r="K5" s="2461"/>
    </row>
    <row r="6" spans="1:11" ht="16.5">
      <c r="A6" s="2299" t="s">
        <v>656</v>
      </c>
      <c r="B6" s="2299">
        <f ca="1">SUM(G14:G23)</f>
        <v>1567</v>
      </c>
      <c r="C6" s="2299">
        <f ca="1">IF(B6=G14,结果表!H108,ROUND(B6*10000/$B$1,0))</f>
        <v>6597</v>
      </c>
      <c r="D6" s="2299" t="e">
        <f ca="1">ROUND(B6*10000/$B$2,0)</f>
        <v>#DIV/0!</v>
      </c>
      <c r="E6" s="2460"/>
      <c r="F6" s="2461"/>
      <c r="G6" s="2461"/>
      <c r="H6" s="2461"/>
      <c r="I6" s="2461"/>
      <c r="J6" s="2461"/>
      <c r="K6" s="2461"/>
    </row>
    <row r="7" spans="1:11" ht="16.5">
      <c r="A7" s="2299" t="s">
        <v>664</v>
      </c>
      <c r="B7" s="2299">
        <f>SUM(H14:H23)</f>
        <v>0</v>
      </c>
      <c r="C7" s="2299" t="str">
        <f>IF(B7=H14,结果表!H110,ROUND(B7*10000/$B$1,0))</f>
        <v>——</v>
      </c>
      <c r="D7" s="2299" t="e">
        <f>ROUND(B7*10000/$B$2,0)</f>
        <v>#DIV/0!</v>
      </c>
      <c r="E7" s="2460"/>
      <c r="F7" s="2461"/>
      <c r="G7" s="2461"/>
      <c r="H7" s="2461"/>
      <c r="I7" s="2461"/>
      <c r="J7" s="2461"/>
      <c r="K7" s="2461"/>
    </row>
    <row r="8" spans="1:11" ht="16.5">
      <c r="A8" s="2299" t="s">
        <v>587</v>
      </c>
      <c r="B8" s="2299">
        <f>SUM(I14:I23)</f>
        <v>0</v>
      </c>
      <c r="C8" s="2299">
        <f ca="1">IF(B8=I14,结果表!H112,ROUND(B8*10000/$B$1,0))</f>
        <v>5932</v>
      </c>
      <c r="D8" s="2299" t="e">
        <f>ROUND(B8*10000/$B$2,0)</f>
        <v>#DIV/0!</v>
      </c>
      <c r="E8" s="2460"/>
      <c r="F8" s="2461"/>
      <c r="G8" s="2461"/>
      <c r="H8" s="2461"/>
      <c r="I8" s="2461"/>
      <c r="J8" s="2461"/>
      <c r="K8" s="2461"/>
    </row>
    <row r="9" spans="1:11" ht="16.5">
      <c r="A9" s="2299" t="s">
        <v>655</v>
      </c>
      <c r="B9" s="1243"/>
      <c r="C9" s="2460"/>
      <c r="D9" s="2460"/>
      <c r="E9" s="2460"/>
      <c r="F9" s="2461"/>
      <c r="G9" s="2461"/>
      <c r="H9" s="2461"/>
      <c r="I9" s="2461"/>
      <c r="J9" s="2461"/>
      <c r="K9" s="2461"/>
    </row>
    <row r="10" spans="1:11" ht="16.5">
      <c r="A10" s="2299" t="s">
        <v>654</v>
      </c>
      <c r="B10" s="2299">
        <f>IF(E10="",0,ROUND(B1*(E10*365/G10)/10000,0))</f>
        <v>0</v>
      </c>
      <c r="C10" s="2299" t="s">
        <v>3356</v>
      </c>
      <c r="D10" s="2299" t="s">
        <v>3357</v>
      </c>
      <c r="E10" s="3135"/>
      <c r="F10" s="3139" t="s">
        <v>3358</v>
      </c>
      <c r="G10" s="3136"/>
      <c r="H10" s="2461"/>
      <c r="I10" s="2461"/>
      <c r="J10" s="2461"/>
      <c r="K10" s="2461"/>
    </row>
    <row r="11" spans="1:11" ht="16.5">
      <c r="A11" s="2299" t="s">
        <v>670</v>
      </c>
      <c r="B11" s="1243"/>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结果表!B118</f>
        <v>2375.33</v>
      </c>
      <c r="C14" s="2305">
        <f>结果表!C118</f>
        <v>0</v>
      </c>
      <c r="D14" s="2305">
        <f ca="1">结果表!H118</f>
        <v>1567</v>
      </c>
      <c r="E14" s="2305">
        <f ca="1">ROUND(D14*10000/B14,0)</f>
        <v>6597</v>
      </c>
      <c r="F14" s="2305" t="e">
        <f ca="1">ROUND(D14*10000/C14,0)</f>
        <v>#DIV/0!</v>
      </c>
      <c r="G14" s="2305">
        <f ca="1">D14</f>
        <v>1567</v>
      </c>
      <c r="H14" s="2305"/>
      <c r="I14" s="2305"/>
      <c r="J14" s="2461"/>
      <c r="K14" s="2461"/>
    </row>
    <row r="15" spans="1:11" ht="16.5">
      <c r="A15" s="2304" t="s">
        <v>649</v>
      </c>
      <c r="B15" s="2306"/>
      <c r="C15" s="2306"/>
      <c r="D15" s="2306"/>
      <c r="E15" s="2305" t="e">
        <f t="shared" ref="E15:E23" si="0">ROUND(D15*10000/B15,0)</f>
        <v>#DIV/0!</v>
      </c>
      <c r="F15" s="2305" t="e">
        <f t="shared" ref="F15:F23" si="1">ROUND(D15*10000/C15,0)</f>
        <v>#DIV/0!</v>
      </c>
      <c r="G15" s="1243"/>
      <c r="H15" s="1243"/>
      <c r="I15" s="2306"/>
      <c r="J15" s="2461"/>
      <c r="K15" s="2461"/>
    </row>
    <row r="16" spans="1:11" ht="16.5">
      <c r="A16" s="2304" t="s">
        <v>648</v>
      </c>
      <c r="B16" s="2306"/>
      <c r="C16" s="2306"/>
      <c r="D16" s="2306"/>
      <c r="E16" s="2305" t="e">
        <f t="shared" si="0"/>
        <v>#DIV/0!</v>
      </c>
      <c r="F16" s="2305" t="e">
        <f t="shared" si="1"/>
        <v>#DIV/0!</v>
      </c>
      <c r="G16" s="1243"/>
      <c r="H16" s="1243"/>
      <c r="I16" s="2306"/>
      <c r="J16" s="2461"/>
      <c r="K16" s="2461"/>
    </row>
    <row r="17" spans="1:11" ht="16.5">
      <c r="A17" s="2304" t="s">
        <v>647</v>
      </c>
      <c r="B17" s="2306"/>
      <c r="C17" s="2306"/>
      <c r="D17" s="2306"/>
      <c r="E17" s="2305" t="e">
        <f t="shared" si="0"/>
        <v>#DIV/0!</v>
      </c>
      <c r="F17" s="2305" t="e">
        <f t="shared" si="1"/>
        <v>#DIV/0!</v>
      </c>
      <c r="G17" s="1243"/>
      <c r="H17" s="1243"/>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3" t="e">
        <f t="shared" si="0"/>
        <v>#DIV/0!</v>
      </c>
      <c r="F23" s="1243"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Normal="100" zoomScaleSheetLayoutView="100" zoomScalePageLayoutView="80" workbookViewId="0">
      <selection activeCell="G9" sqref="G9"/>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t="s">
        <v>673</v>
      </c>
      <c r="D1" s="646"/>
      <c r="E1" s="646"/>
      <c r="F1" s="1620" t="s">
        <v>1263</v>
      </c>
      <c r="G1" s="1452" t="s">
        <v>3397</v>
      </c>
      <c r="H1" s="1620" t="str">
        <f>IF(G1="现房","——","估价对象范围")</f>
        <v>——</v>
      </c>
      <c r="I1" s="1621" t="s">
        <v>3398</v>
      </c>
    </row>
    <row r="2" spans="1:12" ht="21.75" customHeight="1" thickBot="1">
      <c r="A2" s="3305" t="str">
        <f>项目基本情况!S2</f>
        <v>重庆市永川区房地产</v>
      </c>
      <c r="B2" s="3306"/>
      <c r="C2" s="3306"/>
      <c r="D2" s="3306"/>
      <c r="E2" s="3306"/>
      <c r="F2" s="3306"/>
      <c r="G2" s="3306"/>
      <c r="H2" s="3306"/>
      <c r="I2" s="3307"/>
    </row>
    <row r="3" spans="1:12" ht="12.75">
      <c r="A3" s="3309" t="s">
        <v>1264</v>
      </c>
      <c r="B3" s="3310"/>
      <c r="C3" s="3310"/>
      <c r="D3" s="3310"/>
      <c r="E3" s="3310"/>
      <c r="F3" s="3310"/>
      <c r="G3" s="3310"/>
      <c r="H3" s="3310"/>
      <c r="I3" s="3310"/>
    </row>
    <row r="4" spans="1:12" ht="14.25">
      <c r="A4" s="1623" t="s">
        <v>1265</v>
      </c>
      <c r="B4" s="1624" t="s">
        <v>1266</v>
      </c>
      <c r="C4" s="1625" t="s">
        <v>3399</v>
      </c>
      <c r="D4" s="1625" t="s">
        <v>3390</v>
      </c>
      <c r="E4" s="3314" t="s">
        <v>1267</v>
      </c>
      <c r="F4" s="3315"/>
      <c r="G4" s="3315"/>
      <c r="H4" s="3315"/>
      <c r="I4" s="3316"/>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53" t="s">
        <v>1268</v>
      </c>
      <c r="B5" s="3308">
        <v>25</v>
      </c>
      <c r="C5" s="3311"/>
      <c r="D5" s="3299"/>
      <c r="E5" s="123" t="s">
        <v>1269</v>
      </c>
      <c r="F5" s="1626"/>
      <c r="G5" s="1626"/>
      <c r="H5" s="1626"/>
      <c r="I5" s="1280"/>
    </row>
    <row r="6" spans="1:12" ht="12.75">
      <c r="A6" s="3253"/>
      <c r="B6" s="3308"/>
      <c r="C6" s="3313"/>
      <c r="D6" s="3299"/>
      <c r="E6" s="123" t="s">
        <v>1270</v>
      </c>
      <c r="F6" s="1626"/>
      <c r="G6" s="1626"/>
      <c r="H6" s="1626"/>
      <c r="I6" s="1280"/>
    </row>
    <row r="7" spans="1:12" ht="12.75">
      <c r="A7" s="3253"/>
      <c r="B7" s="3308"/>
      <c r="C7" s="3312"/>
      <c r="D7" s="3299"/>
      <c r="E7" s="123" t="s">
        <v>1271</v>
      </c>
      <c r="F7" s="1626"/>
      <c r="G7" s="1626"/>
      <c r="H7" s="1626"/>
      <c r="I7" s="1280"/>
    </row>
    <row r="8" spans="1:12" ht="12.75">
      <c r="A8" s="3253" t="s">
        <v>1272</v>
      </c>
      <c r="B8" s="3308">
        <v>15</v>
      </c>
      <c r="C8" s="3311"/>
      <c r="D8" s="3299"/>
      <c r="E8" s="123" t="s">
        <v>1273</v>
      </c>
      <c r="F8" s="1626"/>
      <c r="G8" s="1626"/>
      <c r="H8" s="1626"/>
      <c r="I8" s="1280"/>
    </row>
    <row r="9" spans="1:12" ht="12.75">
      <c r="A9" s="3253"/>
      <c r="B9" s="3308"/>
      <c r="C9" s="3312"/>
      <c r="D9" s="3299"/>
      <c r="E9" s="123" t="s">
        <v>1274</v>
      </c>
      <c r="F9" s="1626"/>
      <c r="G9" s="1626"/>
      <c r="H9" s="1626"/>
      <c r="I9" s="1280"/>
    </row>
    <row r="10" spans="1:12" ht="12.75">
      <c r="A10" s="3253" t="s">
        <v>1275</v>
      </c>
      <c r="B10" s="3308">
        <v>15</v>
      </c>
      <c r="C10" s="3311"/>
      <c r="D10" s="3299"/>
      <c r="E10" s="123" t="s">
        <v>1276</v>
      </c>
      <c r="F10" s="1626"/>
      <c r="G10" s="1626"/>
      <c r="H10" s="1626"/>
      <c r="I10" s="1280"/>
    </row>
    <row r="11" spans="1:12" ht="12.75">
      <c r="A11" s="3253"/>
      <c r="B11" s="3308"/>
      <c r="C11" s="3312"/>
      <c r="D11" s="3299"/>
      <c r="E11" s="123" t="s">
        <v>1277</v>
      </c>
      <c r="F11" s="1626"/>
      <c r="G11" s="1626"/>
      <c r="H11" s="1626"/>
      <c r="I11" s="1280"/>
    </row>
    <row r="12" spans="1:12" ht="12.75">
      <c r="A12" s="3253" t="s">
        <v>1278</v>
      </c>
      <c r="B12" s="3308">
        <v>15</v>
      </c>
      <c r="C12" s="3311"/>
      <c r="D12" s="3299"/>
      <c r="E12" s="123" t="s">
        <v>1279</v>
      </c>
      <c r="F12" s="1626"/>
      <c r="G12" s="1626"/>
      <c r="H12" s="1626"/>
      <c r="I12" s="1280"/>
    </row>
    <row r="13" spans="1:12" ht="12.75">
      <c r="A13" s="3253"/>
      <c r="B13" s="3308"/>
      <c r="C13" s="3312"/>
      <c r="D13" s="3299"/>
      <c r="E13" s="123" t="s">
        <v>1280</v>
      </c>
      <c r="F13" s="1626"/>
      <c r="G13" s="1626"/>
      <c r="H13" s="1626"/>
      <c r="I13" s="1280"/>
    </row>
    <row r="14" spans="1:12" ht="12.75">
      <c r="A14" s="3253" t="s">
        <v>1281</v>
      </c>
      <c r="B14" s="3308">
        <v>30</v>
      </c>
      <c r="C14" s="3311">
        <v>5</v>
      </c>
      <c r="D14" s="3299">
        <v>5</v>
      </c>
      <c r="E14" s="123" t="s">
        <v>1282</v>
      </c>
      <c r="F14" s="1626"/>
      <c r="G14" s="1626"/>
      <c r="H14" s="1626"/>
      <c r="I14" s="1280"/>
    </row>
    <row r="15" spans="1:12" ht="12.75">
      <c r="A15" s="3253"/>
      <c r="B15" s="3308"/>
      <c r="C15" s="3313"/>
      <c r="D15" s="3299"/>
      <c r="E15" s="123" t="s">
        <v>1283</v>
      </c>
      <c r="F15" s="1626"/>
      <c r="G15" s="1626"/>
      <c r="H15" s="1626"/>
      <c r="I15" s="1280"/>
    </row>
    <row r="16" spans="1:12" ht="12.75">
      <c r="A16" s="3253"/>
      <c r="B16" s="3308"/>
      <c r="C16" s="3312"/>
      <c r="D16" s="3299"/>
      <c r="E16" s="123" t="s">
        <v>1284</v>
      </c>
      <c r="F16" s="1626"/>
      <c r="G16" s="1626"/>
      <c r="H16" s="1626"/>
      <c r="I16" s="1280"/>
    </row>
    <row r="17" spans="1:36" ht="15">
      <c r="A17" s="1627" t="s">
        <v>1285</v>
      </c>
      <c r="B17" s="54"/>
      <c r="C17" s="124">
        <f>SUM(C5:C16)</f>
        <v>5</v>
      </c>
      <c r="D17" s="124">
        <f>SUM(D5:D16)</f>
        <v>5</v>
      </c>
      <c r="E17" s="121"/>
      <c r="F17" s="121"/>
      <c r="G17" s="121"/>
      <c r="H17" s="121"/>
      <c r="I17" s="121"/>
      <c r="K17" s="294"/>
      <c r="L17" s="294" t="s">
        <v>1286</v>
      </c>
      <c r="M17" s="294" t="s">
        <v>1287</v>
      </c>
    </row>
    <row r="18" spans="1:36" ht="31.9" customHeight="1" thickBot="1">
      <c r="A18" s="1628" t="s">
        <v>1288</v>
      </c>
      <c r="B18" s="1541"/>
      <c r="C18" s="125">
        <f>ROUND(C17/SUM(C17:D17),2)</f>
        <v>0.5</v>
      </c>
      <c r="D18" s="125">
        <f>1-C18</f>
        <v>0.5</v>
      </c>
      <c r="E18" s="3330" t="s">
        <v>2131</v>
      </c>
      <c r="F18" s="3331"/>
      <c r="G18" s="3331"/>
      <c r="H18" s="3331"/>
      <c r="I18" s="3331"/>
      <c r="K18" s="294" t="s">
        <v>1289</v>
      </c>
      <c r="L18" s="294">
        <f>IF(C1="",'数据-汇总表'!E3,SUMIF(项目类型,C1,'数据-汇总表'!E17:E26)+SUMIF(项目类型,C1,'数据-汇总表'!I17:I26))</f>
        <v>2375.33</v>
      </c>
      <c r="M18" s="294">
        <f>IF(C1="",'数据-汇总表'!E3,SUMIF(项目类型,C1,'数据-汇总表'!E17:E26))</f>
        <v>2375.33</v>
      </c>
    </row>
    <row r="19" spans="1:36" ht="15">
      <c r="A19" s="1629" t="s">
        <v>1290</v>
      </c>
      <c r="B19" s="1630" t="s">
        <v>1291</v>
      </c>
      <c r="C19" s="126">
        <f ca="1">SUMIF(INDIRECT("'"&amp;C4&amp;"'"&amp;"!A:A"),结果表!B19,INDIRECT("'"&amp;C4&amp;"'"&amp;"!B:B"))</f>
        <v>1673</v>
      </c>
      <c r="D19" s="127">
        <f ca="1">SUMIF(INDIRECT("'"&amp;D4&amp;"'"&amp;"!A:A"),结果表!B19,INDIRECT("'"&amp;D4&amp;"'"&amp;"!B:B"))</f>
        <v>1460</v>
      </c>
      <c r="E19" s="1629" t="s">
        <v>1292</v>
      </c>
      <c r="F19" s="1630" t="s">
        <v>1291</v>
      </c>
      <c r="G19" s="128">
        <f ca="1">ROUND(C19*$C$18+D19*$D$18,0)</f>
        <v>1567</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7043</v>
      </c>
      <c r="D20" s="130">
        <f ca="1">SUMIF(INDIRECT("'"&amp;D4&amp;"'"&amp;"!A:A"),结果表!B20,INDIRECT("'"&amp;D4&amp;"'"&amp;"!B:B"))</f>
        <v>6147</v>
      </c>
      <c r="E20" s="1632"/>
      <c r="F20" s="43" t="s">
        <v>1295</v>
      </c>
      <c r="G20" s="131">
        <f ca="1">ROUND(C20*$C$18+D20*$D$18,0)</f>
        <v>6595</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0.14589041095890409</v>
      </c>
      <c r="E22" s="121"/>
      <c r="F22" s="121"/>
      <c r="G22" s="121"/>
      <c r="H22" s="121"/>
      <c r="I22" s="121"/>
    </row>
    <row r="23" spans="1:36" ht="13.5" thickBot="1">
      <c r="A23" s="646"/>
      <c r="B23" s="646"/>
      <c r="C23" s="646"/>
      <c r="D23" s="646"/>
      <c r="E23" s="121"/>
      <c r="F23" s="121"/>
      <c r="G23" s="121"/>
      <c r="H23" s="121"/>
      <c r="I23" s="121"/>
      <c r="K23" s="684" t="s">
        <v>3543</v>
      </c>
    </row>
    <row r="24" spans="1:36" ht="14.25">
      <c r="A24" s="3323" t="s">
        <v>1299</v>
      </c>
      <c r="B24" s="1630" t="s">
        <v>1291</v>
      </c>
      <c r="C24" s="128">
        <f>IF(B30=0,0,D30)</f>
        <v>0</v>
      </c>
      <c r="D24" s="1636"/>
      <c r="E24" s="121"/>
      <c r="F24" s="121"/>
      <c r="G24" s="121"/>
      <c r="H24" s="121"/>
      <c r="I24" s="121"/>
    </row>
    <row r="25" spans="1:36" ht="14.25">
      <c r="A25" s="3324"/>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f ca="1">G19/'数据-汇总表'!F31</f>
        <v>0.65969781040950104</v>
      </c>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2"/>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1567</v>
      </c>
      <c r="D32" s="1640" t="s">
        <v>3400</v>
      </c>
      <c r="E32" s="121"/>
      <c r="F32" s="121"/>
      <c r="G32" s="121"/>
      <c r="H32" s="121"/>
      <c r="I32" s="121"/>
    </row>
    <row r="33" spans="1:15" ht="15">
      <c r="A33" s="740" t="s">
        <v>1306</v>
      </c>
      <c r="B33" s="123"/>
      <c r="C33" s="1641" t="s">
        <v>3544</v>
      </c>
      <c r="D33" s="1642" t="s">
        <v>3390</v>
      </c>
      <c r="E33" s="1643" t="s">
        <v>1307</v>
      </c>
      <c r="F33" s="1644" t="str">
        <f>IF(D32="楼面单价","取值（单价）","取值（总价）")</f>
        <v>取值（总价）</v>
      </c>
      <c r="G33" s="121"/>
      <c r="H33" s="121"/>
      <c r="I33" s="121"/>
    </row>
    <row r="34" spans="1:15" ht="15">
      <c r="A34" s="1645"/>
      <c r="B34" s="1646" t="s">
        <v>1308</v>
      </c>
      <c r="C34" s="140">
        <f ca="1">IF(C33="自定义",F34,C32-C35)</f>
        <v>461</v>
      </c>
      <c r="D34" s="808">
        <f ca="1">IF(C33="自定义",ROUND(C34/C32,3),IF(C33="收益比率",SUMIF(INDIRECT("'"&amp;D33&amp;"'"&amp;"!b:b"),"土地收益比率",INDIRECT("'"&amp;D33&amp;"'"&amp;"!c:c")),SUMIF(INDIRECT("'"&amp;D33&amp;"'"&amp;"!b:b"),"土地成本比率",INDIRECT("'"&amp;D33&amp;"'"&amp;"!c:c"))))</f>
        <v>0.29400000000000004</v>
      </c>
      <c r="E34" s="1647" t="s">
        <v>1309</v>
      </c>
      <c r="F34" s="1242"/>
      <c r="G34" s="121"/>
      <c r="H34" s="121"/>
      <c r="I34" s="121"/>
    </row>
    <row r="35" spans="1:15" ht="15.75" thickBot="1">
      <c r="A35" s="1648"/>
      <c r="B35" s="1649" t="s">
        <v>1310</v>
      </c>
      <c r="C35" s="1090">
        <f ca="1">IF(C33="自定义",F35,ROUND(C32*D35,0))</f>
        <v>1106</v>
      </c>
      <c r="D35" s="1091">
        <f ca="1">IF(C33="自定义",ROUND(C35/C32,3),IF(C33="收益比率",SUMIF(INDIRECT("'"&amp;D33&amp;"'"&amp;"!b:b"),"建筑物收益比率",INDIRECT("'"&amp;D33&amp;"'"&amp;"!c:c")),SUMIF(INDIRECT("'"&amp;D33&amp;"'"&amp;"!b:b"),"建筑物成本比率",INDIRECT("'"&amp;D33&amp;"'"&amp;"!c:c"))))</f>
        <v>0.70599999999999996</v>
      </c>
      <c r="E35" s="1650" t="s">
        <v>1311</v>
      </c>
      <c r="F35" s="146"/>
      <c r="G35" s="121"/>
      <c r="H35" s="121"/>
      <c r="I35" s="121"/>
    </row>
    <row r="36" spans="1:15" ht="15.75" thickBot="1">
      <c r="A36" s="3300" t="s">
        <v>1312</v>
      </c>
      <c r="B36" s="1651" t="s">
        <v>1313</v>
      </c>
      <c r="C36" s="137"/>
      <c r="D36" s="1652"/>
      <c r="E36" s="1566"/>
      <c r="F36" s="1653"/>
      <c r="G36" s="121"/>
      <c r="H36" s="121"/>
      <c r="I36" s="121"/>
    </row>
    <row r="37" spans="1:15" ht="15.75" thickBot="1">
      <c r="A37" s="3301"/>
      <c r="B37" s="1554" t="s">
        <v>1314</v>
      </c>
      <c r="C37" s="139"/>
      <c r="D37" s="1071"/>
      <c r="E37" s="1071"/>
      <c r="F37" s="1653"/>
      <c r="G37" s="121"/>
      <c r="H37" s="121"/>
      <c r="I37" s="121"/>
    </row>
    <row r="38" spans="1:15" ht="15.75" thickBot="1">
      <c r="A38" s="3302"/>
      <c r="B38" s="1654" t="s">
        <v>1315</v>
      </c>
      <c r="C38" s="641"/>
      <c r="D38" s="1655" t="s">
        <v>1316</v>
      </c>
      <c r="E38" s="1071"/>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20" t="s">
        <v>1326</v>
      </c>
      <c r="B45" s="3321"/>
      <c r="C45" s="3322"/>
      <c r="D45" s="147">
        <f ca="1">ROUND(H101*F45,0)</f>
        <v>1567</v>
      </c>
      <c r="E45" s="148" t="s">
        <v>1327</v>
      </c>
      <c r="F45" s="149">
        <v>1</v>
      </c>
      <c r="G45" s="150" t="s">
        <v>1328</v>
      </c>
      <c r="H45" s="121"/>
      <c r="I45" s="121"/>
      <c r="J45" s="3240" t="s">
        <v>1329</v>
      </c>
      <c r="K45" s="3240"/>
      <c r="L45" s="3240"/>
      <c r="M45" s="3240"/>
      <c r="N45" s="3240"/>
      <c r="O45" s="3240"/>
    </row>
    <row r="46" spans="1:15" ht="14.25" customHeight="1">
      <c r="A46" s="3317" t="s">
        <v>1330</v>
      </c>
      <c r="B46" s="3318"/>
      <c r="C46" s="3318"/>
      <c r="D46" s="3318"/>
      <c r="E46" s="3318"/>
      <c r="F46" s="3318"/>
      <c r="G46" s="3319"/>
      <c r="H46" s="1667"/>
      <c r="I46" s="151"/>
      <c r="J46" s="2309">
        <v>1</v>
      </c>
      <c r="K46" s="3241" t="s">
        <v>1331</v>
      </c>
      <c r="L46" s="3241"/>
      <c r="M46" s="3242"/>
      <c r="N46" s="3242"/>
      <c r="O46" s="3242"/>
    </row>
    <row r="47" spans="1:15" ht="12" customHeight="1">
      <c r="A47" s="152" t="s">
        <v>1332</v>
      </c>
      <c r="B47" s="153"/>
      <c r="C47" s="154"/>
      <c r="D47" s="1024" t="s">
        <v>1333</v>
      </c>
      <c r="E47" s="294" t="s">
        <v>1334</v>
      </c>
      <c r="F47" s="155" t="s">
        <v>1335</v>
      </c>
      <c r="G47" s="2332" t="s">
        <v>1336</v>
      </c>
      <c r="H47" s="2333"/>
      <c r="I47" s="151"/>
      <c r="J47" s="2309">
        <v>2</v>
      </c>
      <c r="K47" s="3241" t="s">
        <v>1337</v>
      </c>
      <c r="L47" s="3241"/>
      <c r="M47" s="3243">
        <f>'数据-取费表'!B2</f>
        <v>45544</v>
      </c>
      <c r="N47" s="3243"/>
      <c r="O47" s="3243"/>
    </row>
    <row r="48" spans="1:15" ht="25.5">
      <c r="A48" s="3303" t="s">
        <v>1338</v>
      </c>
      <c r="B48" s="3304"/>
      <c r="C48" s="3304"/>
      <c r="D48" s="12">
        <f ca="1">IF(H48="情况1",0,IF(H48="情况2",D52,IF(H48="情况3",D53,IF(H48="情况4",D54))))</f>
        <v>82</v>
      </c>
      <c r="E48" s="1255" t="str">
        <f>IF(H48="情况4","(销售额-原购置价)×税（费）率","销售额×税（费）率")</f>
        <v>(销售额-原购置价)×税（费）率</v>
      </c>
      <c r="F48" s="2334">
        <f>IF(H48="情况1","免征",'数据-取费表'!B41)</f>
        <v>5.5000000000000007E-2</v>
      </c>
      <c r="G48" s="2335" t="s">
        <v>1339</v>
      </c>
      <c r="H48" s="2336" t="s">
        <v>3436</v>
      </c>
      <c r="I48" s="1667"/>
      <c r="J48" s="2309">
        <v>3</v>
      </c>
      <c r="K48" s="3241" t="s">
        <v>1340</v>
      </c>
      <c r="L48" s="3241"/>
      <c r="M48" s="3244">
        <f ca="1">H101</f>
        <v>1567</v>
      </c>
      <c r="N48" s="3244"/>
      <c r="O48" s="3244"/>
    </row>
    <row r="49" spans="1:35" ht="25.5" customHeight="1">
      <c r="A49" s="2151" t="s">
        <v>1341</v>
      </c>
      <c r="B49" s="3289" t="s">
        <v>1342</v>
      </c>
      <c r="C49" s="3289"/>
      <c r="D49" s="1477">
        <v>0</v>
      </c>
      <c r="E49" s="316" t="s">
        <v>1343</v>
      </c>
      <c r="F49" s="2232" t="s">
        <v>28</v>
      </c>
      <c r="G49" s="3272"/>
      <c r="H49" s="2133" t="s">
        <v>2134</v>
      </c>
      <c r="I49" s="2134"/>
      <c r="J49" s="2309">
        <v>4</v>
      </c>
      <c r="K49" s="3241" t="str">
        <f>IF(项目基本情况!E8="房地产抵押价值","房地产抵押价值","抵押担保权已注销时的房地产抵押价值")</f>
        <v>房地产抵押价值</v>
      </c>
      <c r="L49" s="3241"/>
      <c r="M49" s="3244">
        <f ca="1">IF(项目基本情况!E8="房地产抵押价值",H107,H109)</f>
        <v>1567</v>
      </c>
      <c r="N49" s="3244"/>
      <c r="O49" s="3244"/>
    </row>
    <row r="50" spans="1:35" ht="25.5" customHeight="1">
      <c r="A50" s="2337"/>
      <c r="B50" s="3289" t="s">
        <v>1344</v>
      </c>
      <c r="C50" s="3289"/>
      <c r="D50" s="2188"/>
      <c r="E50" s="323"/>
      <c r="F50" s="2232"/>
      <c r="G50" s="3273"/>
      <c r="H50" s="2135" t="s">
        <v>2135</v>
      </c>
      <c r="I50" s="2134"/>
      <c r="J50" s="3240" t="s">
        <v>1345</v>
      </c>
      <c r="K50" s="3240"/>
      <c r="L50" s="3240"/>
      <c r="M50" s="3240"/>
      <c r="N50" s="3240"/>
      <c r="O50" s="3240"/>
    </row>
    <row r="51" spans="1:35" ht="20.45" customHeight="1">
      <c r="A51" s="2338"/>
      <c r="B51" s="3289" t="s">
        <v>1346</v>
      </c>
      <c r="C51" s="3289"/>
      <c r="D51" s="1024"/>
      <c r="E51" s="319"/>
      <c r="F51" s="2232"/>
      <c r="G51" s="3274"/>
      <c r="H51" s="2135" t="s">
        <v>2136</v>
      </c>
      <c r="I51" s="2134"/>
      <c r="J51" s="2310" t="s">
        <v>1347</v>
      </c>
      <c r="K51" s="3241" t="s">
        <v>1348</v>
      </c>
      <c r="L51" s="3241"/>
      <c r="M51" s="2310" t="s">
        <v>1349</v>
      </c>
      <c r="N51" s="2310" t="s">
        <v>1350</v>
      </c>
      <c r="O51" s="2310" t="s">
        <v>1351</v>
      </c>
    </row>
    <row r="52" spans="1:35" ht="24" customHeight="1">
      <c r="A52" s="2152" t="s">
        <v>1352</v>
      </c>
      <c r="B52" s="3289" t="s">
        <v>1353</v>
      </c>
      <c r="C52" s="3289"/>
      <c r="D52" s="1024">
        <f ca="1">ROUND(D45*'数据-取费表'!B41/(1+'数据-取费表'!C42),0)</f>
        <v>82</v>
      </c>
      <c r="E52" s="1255" t="s">
        <v>1354</v>
      </c>
      <c r="F52" s="2339">
        <f>'数据-取费表'!B41</f>
        <v>5.5000000000000007E-2</v>
      </c>
      <c r="G52" s="2340"/>
      <c r="H52" s="2330"/>
      <c r="I52" s="1668"/>
      <c r="J52" s="2309">
        <v>1</v>
      </c>
      <c r="K52" s="3266" t="s">
        <v>1355</v>
      </c>
      <c r="L52" s="3266"/>
      <c r="M52" s="2311">
        <f ca="1">D48</f>
        <v>82</v>
      </c>
      <c r="N52" s="2309" t="str">
        <f>E48</f>
        <v>(销售额-原购置价)×税（费）率</v>
      </c>
      <c r="O52" s="2312">
        <f>F48</f>
        <v>5.5000000000000007E-2</v>
      </c>
    </row>
    <row r="53" spans="1:35" ht="12" customHeight="1">
      <c r="A53" s="2152" t="s">
        <v>1356</v>
      </c>
      <c r="B53" s="3290" t="s">
        <v>2289</v>
      </c>
      <c r="C53" s="3291"/>
      <c r="D53" s="1024">
        <f ca="1">ROUND(D45*'数据-取费表'!B41/(1+'数据-取费表'!C42),0)</f>
        <v>82</v>
      </c>
      <c r="E53" s="1255" t="s">
        <v>1354</v>
      </c>
      <c r="F53" s="2339">
        <f>'数据-取费表'!B41</f>
        <v>5.5000000000000007E-2</v>
      </c>
      <c r="G53" s="2340"/>
      <c r="H53" s="2330"/>
      <c r="I53" s="1668"/>
      <c r="J53" s="2309">
        <v>2</v>
      </c>
      <c r="K53" s="3266" t="s">
        <v>1357</v>
      </c>
      <c r="L53" s="3266"/>
      <c r="M53" s="2311">
        <f t="shared" ref="M53:O54" ca="1" si="0">D55</f>
        <v>1</v>
      </c>
      <c r="N53" s="2309" t="str">
        <f t="shared" si="0"/>
        <v>销售额×税（费）率</v>
      </c>
      <c r="O53" s="2312">
        <f t="shared" si="0"/>
        <v>5.0000000000000001E-4</v>
      </c>
    </row>
    <row r="54" spans="1:35" ht="12" customHeight="1">
      <c r="A54" s="2152" t="s">
        <v>1358</v>
      </c>
      <c r="B54" s="3290" t="s">
        <v>2290</v>
      </c>
      <c r="C54" s="3291"/>
      <c r="D54" s="1024">
        <f ca="1">C68</f>
        <v>82</v>
      </c>
      <c r="E54" s="319" t="s">
        <v>1359</v>
      </c>
      <c r="F54" s="2339">
        <f>'数据-取费表'!B41</f>
        <v>5.5000000000000007E-2</v>
      </c>
      <c r="G54" s="2340"/>
      <c r="H54" s="2341"/>
      <c r="I54" s="1668"/>
      <c r="J54" s="2309">
        <v>3</v>
      </c>
      <c r="K54" s="3266" t="s">
        <v>1360</v>
      </c>
      <c r="L54" s="3266"/>
      <c r="M54" s="2311">
        <f t="shared" ca="1" si="0"/>
        <v>75</v>
      </c>
      <c r="N54" s="2309" t="str">
        <f t="shared" si="0"/>
        <v>增值额×税（费）率</v>
      </c>
      <c r="O54" s="2313" t="str">
        <f t="shared" si="0"/>
        <v>——</v>
      </c>
    </row>
    <row r="55" spans="1:35" ht="24" customHeight="1">
      <c r="A55" s="3326" t="s">
        <v>1361</v>
      </c>
      <c r="B55" s="3304"/>
      <c r="C55" s="3304"/>
      <c r="D55" s="12">
        <f ca="1">IF(H55="个人住宅",0,ROUND(D45*I55,0))</f>
        <v>1</v>
      </c>
      <c r="E55" s="1255" t="s">
        <v>1362</v>
      </c>
      <c r="F55" s="2339">
        <f>IF(H55="正常",I55,"免征")</f>
        <v>5.0000000000000001E-4</v>
      </c>
      <c r="G55" s="2340"/>
      <c r="H55" s="2336" t="s">
        <v>3419</v>
      </c>
      <c r="I55" s="157">
        <f>'数据-取费表'!B49</f>
        <v>5.0000000000000001E-4</v>
      </c>
      <c r="J55" s="2309" t="str">
        <f>IF(H59="非个人房产","",4)</f>
        <v/>
      </c>
      <c r="K55" s="3266" t="str">
        <f>IF(H59="非个人房产","——","个人所得税")</f>
        <v>——</v>
      </c>
      <c r="L55" s="3266"/>
      <c r="M55" s="2314" t="str">
        <f>D59</f>
        <v>——</v>
      </c>
      <c r="N55" s="1882" t="str">
        <f>E59</f>
        <v>——</v>
      </c>
      <c r="O55" s="2315" t="str">
        <f>F59</f>
        <v>——</v>
      </c>
    </row>
    <row r="56" spans="1:35" ht="24.75">
      <c r="A56" s="3326" t="s">
        <v>1363</v>
      </c>
      <c r="B56" s="3304"/>
      <c r="C56" s="3304"/>
      <c r="D56" s="3146">
        <f ca="1">ROUND(D45/1.05*0.05,0)</f>
        <v>75</v>
      </c>
      <c r="E56" s="1255" t="s">
        <v>1364</v>
      </c>
      <c r="F56" s="2339" t="str">
        <f>IF(H56="正常",F58,"免征")</f>
        <v>——</v>
      </c>
      <c r="G56" s="2342" t="s">
        <v>1365</v>
      </c>
      <c r="H56" s="2343" t="s">
        <v>3419</v>
      </c>
      <c r="I56" s="1669"/>
      <c r="J56" s="2309" t="str">
        <f>IF(项目基本情况!K6="上海银行",IF(J55="",4,J55+1),"")</f>
        <v/>
      </c>
      <c r="K56" s="3247" t="str">
        <f>IF(项目基本情况!K6="上海银行","其他处置费用","")</f>
        <v/>
      </c>
      <c r="L56" s="3248"/>
      <c r="M56" s="2311" t="str">
        <f>IF(项目基本情况!K6="上海银行",M69,"")</f>
        <v/>
      </c>
      <c r="N56" s="3247" t="str">
        <f>IF(项目基本情况!K6="上海银行","包含处置中涉及的律师、诉讼、拍卖、评估等费用","")</f>
        <v/>
      </c>
      <c r="O56" s="3250"/>
    </row>
    <row r="57" spans="1:35" ht="12.75">
      <c r="A57" s="2152" t="s">
        <v>1341</v>
      </c>
      <c r="B57" s="3290" t="s">
        <v>1366</v>
      </c>
      <c r="C57" s="3291"/>
      <c r="D57" s="1477">
        <v>0</v>
      </c>
      <c r="E57" s="316" t="s">
        <v>1343</v>
      </c>
      <c r="F57" s="294"/>
      <c r="G57" s="2340"/>
      <c r="H57" s="2344"/>
      <c r="I57" s="1669"/>
      <c r="J57" s="3266">
        <f>IF(AND(J55="",J56=""),4,IF(项目基本情况!K6="上海银行",结果表!J56+1,结果表!J55+1))</f>
        <v>4</v>
      </c>
      <c r="K57" s="3266" t="s">
        <v>1367</v>
      </c>
      <c r="L57" s="2316" t="s">
        <v>1368</v>
      </c>
      <c r="M57" s="2317"/>
      <c r="N57" s="2318">
        <f ca="1">SUMIF(M52:M56,"&lt;9e307")</f>
        <v>158</v>
      </c>
      <c r="O57" s="2319"/>
      <c r="P57" s="2463">
        <f ca="1">N57/M49</f>
        <v>0.10082961072112316</v>
      </c>
    </row>
    <row r="58" spans="1:35" ht="24.75">
      <c r="A58" s="2152" t="s">
        <v>1352</v>
      </c>
      <c r="B58" s="3290" t="s">
        <v>1369</v>
      </c>
      <c r="C58" s="3289"/>
      <c r="D58" s="12">
        <f ca="1">IF(H58="转让取得",C81,C97)</f>
        <v>889</v>
      </c>
      <c r="E58" s="1255" t="s">
        <v>1364</v>
      </c>
      <c r="F58" s="294" t="s">
        <v>28</v>
      </c>
      <c r="G58" s="2340"/>
      <c r="H58" s="2343" t="s">
        <v>3437</v>
      </c>
      <c r="I58" s="1669"/>
      <c r="J58" s="3266"/>
      <c r="K58" s="3266"/>
      <c r="L58" s="2316" t="s">
        <v>1370</v>
      </c>
      <c r="M58" s="2320"/>
      <c r="N58" s="2321" t="str">
        <f ca="1">NUMBERSTRING(INT(N57*10000),2)&amp;"元整"</f>
        <v>壹佰伍拾捌万元整</v>
      </c>
      <c r="O58" s="2322"/>
    </row>
    <row r="59" spans="1:35" ht="24.75" thickBot="1">
      <c r="A59" s="3270" t="s">
        <v>1371</v>
      </c>
      <c r="B59" s="3271"/>
      <c r="C59" s="3271"/>
      <c r="D59" s="2345" t="str">
        <f>IF(H59="非个人房产","——",IF(H59="个人住宅（满五唯一有凭证）",0,IF(H59="个人其他（无凭证）",ROUND(D45*F59,0),ROUND(C67*F59,0))))</f>
        <v>——</v>
      </c>
      <c r="E59" s="2346" t="str">
        <f>IF(H59="非个人房产","——",IF(H59="个人其他（无凭证）","销售额×税（费）率",IF(H59="个人住宅（满五唯一有凭证）","免征","差额计税")))</f>
        <v>——</v>
      </c>
      <c r="F59" s="2347" t="str">
        <f>IF(OR(H59="非个人房产",H59="个人住宅（满五唯一有凭证）"),"——",IF(H59="个人其他（有凭证）",20%,1%))</f>
        <v>——</v>
      </c>
      <c r="G59" s="2348" t="s">
        <v>1365</v>
      </c>
      <c r="H59" s="2137" t="s">
        <v>3438</v>
      </c>
      <c r="I59" s="2136" t="s">
        <v>2137</v>
      </c>
      <c r="J59" s="3268">
        <f>J57+1</f>
        <v>5</v>
      </c>
      <c r="K59" s="3266" t="s">
        <v>1372</v>
      </c>
      <c r="L59" s="2309" t="s">
        <v>1368</v>
      </c>
      <c r="M59" s="2323"/>
      <c r="N59" s="2324">
        <f ca="1">M49-N57</f>
        <v>1409</v>
      </c>
      <c r="O59" s="2325"/>
    </row>
    <row r="60" spans="1:35" ht="12" customHeight="1">
      <c r="A60" s="1670"/>
      <c r="B60" s="646"/>
      <c r="C60" s="646"/>
      <c r="D60" s="646"/>
      <c r="E60" s="1465"/>
      <c r="F60" s="1669"/>
      <c r="G60" s="1669"/>
      <c r="H60" s="151"/>
      <c r="I60" s="121"/>
      <c r="J60" s="3269"/>
      <c r="K60" s="3266"/>
      <c r="L60" s="2316" t="s">
        <v>1370</v>
      </c>
      <c r="M60" s="2320"/>
      <c r="N60" s="2321" t="str">
        <f ca="1">NUMBERSTRING(INT(N59*10000),2)&amp;"元整"</f>
        <v>壹仟肆佰零玖万元整</v>
      </c>
      <c r="O60" s="2322"/>
    </row>
    <row r="61" spans="1:35" ht="13.5" thickBot="1">
      <c r="A61" s="3325" t="s">
        <v>1373</v>
      </c>
      <c r="B61" s="3325"/>
      <c r="C61" s="3325"/>
      <c r="D61" s="3325"/>
      <c r="E61" s="3325"/>
      <c r="F61" s="1669"/>
      <c r="G61" s="1669"/>
      <c r="H61" s="151"/>
      <c r="I61" s="121"/>
      <c r="J61" s="2309">
        <f>J59+1</f>
        <v>6</v>
      </c>
      <c r="K61" s="3266" t="s">
        <v>1374</v>
      </c>
      <c r="L61" s="3266"/>
      <c r="M61" s="2326"/>
      <c r="N61" s="2327">
        <f ca="1">ROUND(N59*10000/'数据-汇总表'!E3,0)</f>
        <v>5932</v>
      </c>
      <c r="O61" s="2328"/>
    </row>
    <row r="62" spans="1:35" ht="12.75">
      <c r="A62" s="3285" t="s">
        <v>1375</v>
      </c>
      <c r="B62" s="3286"/>
      <c r="C62" s="1864"/>
      <c r="D62" s="1864" t="s">
        <v>1376</v>
      </c>
      <c r="E62" s="158" t="s">
        <v>1377</v>
      </c>
      <c r="F62" s="1669"/>
      <c r="G62" s="1669"/>
      <c r="H62" s="151"/>
      <c r="I62" s="121"/>
    </row>
    <row r="63" spans="1:35" ht="12.75">
      <c r="A63" s="165" t="s">
        <v>330</v>
      </c>
      <c r="B63" s="159" t="s">
        <v>1378</v>
      </c>
      <c r="C63" s="2349">
        <f ca="1">ROUND((C64+C65)/(1+'数据-取费表'!C42),0)</f>
        <v>1492</v>
      </c>
      <c r="D63" s="159"/>
      <c r="E63" s="160"/>
      <c r="F63" s="1669"/>
      <c r="G63" s="1669"/>
      <c r="H63" s="151"/>
      <c r="I63" s="121"/>
      <c r="J63" s="3249" t="s">
        <v>1379</v>
      </c>
      <c r="K63" s="1244" t="s">
        <v>1380</v>
      </c>
      <c r="L63" s="1244">
        <f ca="1">IF(M49&gt;10000,M49*0.5%,IF(AND(M49&gt;1000,M49&lt;=10000),M49*1%,IF(AND(M49&gt;100,M49&lt;=1000),M49*3%,IF(AND(M49&gt;10,M49&lt;=100),M49*5%,M49*8%))))</f>
        <v>15.67</v>
      </c>
      <c r="M63" s="294">
        <f ca="1">ROUND(L63,1)</f>
        <v>15.7</v>
      </c>
      <c r="N63" s="2329"/>
      <c r="Z63" s="1622"/>
      <c r="AI63" s="1560"/>
    </row>
    <row r="64" spans="1:35" ht="14.25" customHeight="1">
      <c r="A64" s="161" t="s">
        <v>325</v>
      </c>
      <c r="B64" s="162" t="s">
        <v>1381</v>
      </c>
      <c r="C64" s="2350">
        <f ca="1">D45</f>
        <v>1567</v>
      </c>
      <c r="D64" s="162" t="s">
        <v>26</v>
      </c>
      <c r="E64" s="164"/>
      <c r="F64" s="1669"/>
      <c r="G64" s="1669"/>
      <c r="H64" s="151"/>
      <c r="I64" s="121"/>
      <c r="J64" s="3249"/>
      <c r="K64" s="1244" t="s">
        <v>1382</v>
      </c>
      <c r="L64" s="1244">
        <f ca="1">IF(M49&gt;2000,M49*0.5%,IF(AND(M49&gt;1000,M49&lt;=2000),M49*0.6%,IF(AND(M49&gt;500,M49&lt;=1000),M49*0.7%,IF(AND(M49&gt;200,M49&lt;=500),M49*0.8%,IF(AND(M49&gt;100,M49&lt;=200),M49*0.9%,IF(AND(M49&gt;50,M49&lt;=100),M49*1%,IF(AND(M49&gt;20,M49&lt;=50),M49*1.5%,IF(AND(M49&gt;10,M49&lt;=20),M49*2%,IF(AND(M49&gt;1,M49&lt;=10),M49*2.5%)))))))))</f>
        <v>9.402000000000001</v>
      </c>
      <c r="M64" s="294">
        <f t="shared" ref="M64:M65" ca="1" si="1">ROUND(L64,1)</f>
        <v>9.4</v>
      </c>
      <c r="N64" s="2330" t="s">
        <v>1383</v>
      </c>
      <c r="Z64" s="1622"/>
      <c r="AI64" s="1560"/>
    </row>
    <row r="65" spans="1:35" ht="14.25" customHeight="1">
      <c r="A65" s="161" t="s">
        <v>326</v>
      </c>
      <c r="B65" s="162" t="s">
        <v>1384</v>
      </c>
      <c r="C65" s="2351"/>
      <c r="D65" s="162"/>
      <c r="E65" s="164"/>
      <c r="F65" s="1669"/>
      <c r="G65" s="1669"/>
      <c r="H65" s="151"/>
      <c r="I65" s="121"/>
      <c r="J65" s="3249"/>
      <c r="K65" s="1244" t="s">
        <v>1385</v>
      </c>
      <c r="L65" s="1244">
        <f ca="1">IF(M49&gt;1000,M49*0.1%,IF(AND(M49&gt;500,M49&lt;=1000),M49*0.5%,IF(AND(M49&gt;50,M49&lt;=500),M49*1%,IF(AND(M49&gt;1,M49&lt;=50),M49*1.5%))))</f>
        <v>1.5669999999999999</v>
      </c>
      <c r="M65" s="294">
        <f t="shared" ca="1" si="1"/>
        <v>1.6</v>
      </c>
      <c r="N65" s="2330" t="s">
        <v>1383</v>
      </c>
      <c r="Z65" s="1622"/>
      <c r="AI65" s="1560"/>
    </row>
    <row r="66" spans="1:35" ht="14.25" customHeight="1">
      <c r="A66" s="165" t="s">
        <v>327</v>
      </c>
      <c r="B66" s="166" t="s">
        <v>1386</v>
      </c>
      <c r="C66" s="2352"/>
      <c r="D66" s="166" t="s">
        <v>26</v>
      </c>
      <c r="E66" s="1250" t="s">
        <v>671</v>
      </c>
      <c r="F66" s="1669"/>
      <c r="G66" s="1669"/>
      <c r="H66" s="151"/>
      <c r="I66" s="121"/>
      <c r="J66" s="3249"/>
      <c r="K66" s="1244" t="s">
        <v>1387</v>
      </c>
      <c r="L66" s="1244">
        <f ca="1">M49*0.5%</f>
        <v>7.835</v>
      </c>
      <c r="M66" s="294">
        <f ca="1">IF(L66&gt;0.5,0.5,ROUND(L66,0))</f>
        <v>0.5</v>
      </c>
      <c r="N66" s="2330" t="s">
        <v>1388</v>
      </c>
      <c r="Z66" s="1622"/>
      <c r="AI66" s="1560"/>
    </row>
    <row r="67" spans="1:35" ht="14.25" customHeight="1">
      <c r="A67" s="165" t="s">
        <v>328</v>
      </c>
      <c r="B67" s="166" t="s">
        <v>1389</v>
      </c>
      <c r="C67" s="2353">
        <f ca="1">C63-C66</f>
        <v>1492</v>
      </c>
      <c r="D67" s="162" t="s">
        <v>26</v>
      </c>
      <c r="E67" s="164"/>
      <c r="F67" s="1669"/>
      <c r="G67" s="1669"/>
      <c r="H67" s="151"/>
      <c r="I67" s="121"/>
      <c r="J67" s="3249"/>
      <c r="K67" s="1244" t="s">
        <v>1390</v>
      </c>
      <c r="L67" s="1244">
        <f ca="1">IF(M49&gt;=10000,(8.25+(M49-10000)*0.01%),IF(AND(M49&gt;=8000,M49&lt;10000),(7.85+(M49-8000)*0.02%),IF(AND(M49&gt;=5000,M49&lt;8000),(6.65+(M49-5000)*0.04%),IF(AND(M49&gt;=2000,M49&lt;5000),(4.25+(PM49-2000)*0.08%),IF(AND(M49&gt;=1000,M49&lt;2000),(2.75+(M49-1000)*0.15%),IF(AND(M49&gt;=100,M49&lt;1000),(0.5+(M49-100)*0.25%),IF(AND(M49&gt;0,M49&lt;100),M49*0.5%)))))))</f>
        <v>3.6005000000000003</v>
      </c>
      <c r="M67" s="294">
        <f ca="1">ROUND(L67*0.9,1)</f>
        <v>3.2</v>
      </c>
      <c r="N67" s="2329"/>
      <c r="Z67" s="1622"/>
      <c r="AI67" s="1560"/>
    </row>
    <row r="68" spans="1:35" ht="14.25" customHeight="1" thickBot="1">
      <c r="A68" s="168" t="s">
        <v>329</v>
      </c>
      <c r="B68" s="169" t="s">
        <v>1391</v>
      </c>
      <c r="C68" s="2354">
        <f ca="1">IF(C67&lt;=0,0,ROUND(C67*D68,0))</f>
        <v>82</v>
      </c>
      <c r="D68" s="2355">
        <f>'数据-取费表'!B41</f>
        <v>5.5000000000000007E-2</v>
      </c>
      <c r="E68" s="170"/>
      <c r="F68" s="1669"/>
      <c r="G68" s="1669"/>
      <c r="H68" s="151"/>
      <c r="I68" s="121"/>
      <c r="J68" s="3249"/>
      <c r="K68" s="1244" t="s">
        <v>1392</v>
      </c>
      <c r="L68" s="1244">
        <f ca="1">IF(M49&gt;10000,M49*0.5%,IF(AND(M49&gt;5000,M49&lt;=10000),M49*1%,IF(AND(M49&gt;1000,M49&lt;=5000),M49*2%,IF(AND(M49&gt;200,M49&lt;=1000),M49*3%,M49*5%))))</f>
        <v>31.34</v>
      </c>
      <c r="M68" s="294">
        <f ca="1">ROUND(L68,1)</f>
        <v>31.3</v>
      </c>
      <c r="N68" s="2329"/>
      <c r="Z68" s="1622"/>
      <c r="AI68" s="1560"/>
    </row>
    <row r="69" spans="1:35" ht="16.5" customHeight="1">
      <c r="A69" s="1671"/>
      <c r="B69" s="1672"/>
      <c r="C69" s="1673"/>
      <c r="D69" s="1674"/>
      <c r="E69" s="1675"/>
      <c r="F69" s="1465"/>
      <c r="G69" s="1465"/>
      <c r="H69" s="1466"/>
      <c r="I69" s="646"/>
      <c r="J69" s="3249"/>
      <c r="K69" s="1244" t="s">
        <v>1393</v>
      </c>
      <c r="L69" s="1244"/>
      <c r="M69" s="294">
        <f ca="1">ROUND(SUM(M63:M68),0)</f>
        <v>62</v>
      </c>
      <c r="N69" s="2331">
        <f ca="1">M69/M49</f>
        <v>3.9566049776643269E-2</v>
      </c>
      <c r="Z69" s="1622"/>
      <c r="AI69" s="1560"/>
    </row>
    <row r="70" spans="1:35" s="642" customFormat="1" ht="15" thickBot="1">
      <c r="A70" s="3293" t="s">
        <v>1394</v>
      </c>
      <c r="B70" s="3294"/>
      <c r="C70" s="3294"/>
      <c r="D70" s="3294"/>
      <c r="E70" s="3294"/>
      <c r="F70" s="3294"/>
      <c r="G70" s="3294"/>
      <c r="H70" s="3294"/>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285" t="s">
        <v>1375</v>
      </c>
      <c r="B71" s="3286"/>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3">
        <f ca="1">ROUND(D45/(1+'数据-取费表'!C42),0)</f>
        <v>1492</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3">
        <f ca="1">C74+C78</f>
        <v>7</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6"/>
      <c r="D75" s="162" t="s">
        <v>26</v>
      </c>
      <c r="E75" s="176" t="s">
        <v>1399</v>
      </c>
      <c r="F75" s="2357"/>
      <c r="G75" s="176"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9">
        <v>0.05</v>
      </c>
      <c r="E76" s="3290" t="s">
        <v>1402</v>
      </c>
      <c r="F76" s="3289"/>
      <c r="G76" s="3289"/>
      <c r="H76" s="3292"/>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1">
        <f ca="1">ROUND(D45*D78/(1+'数据-取费表'!C42),0)</f>
        <v>7</v>
      </c>
      <c r="D78" s="2362">
        <f>'数据-取费表'!B43</f>
        <v>5.000000000000001E-3</v>
      </c>
      <c r="E78" s="3282" t="s">
        <v>1406</v>
      </c>
      <c r="F78" s="3283"/>
      <c r="G78" s="3283"/>
      <c r="H78" s="3284"/>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3">
        <f ca="1">C72-C73</f>
        <v>1485</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3">
        <f ca="1">IF(C79&lt;=0,0,C79/C73)</f>
        <v>212.14285714285714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4">
        <f ca="1">ROUND(IF(C79&lt;=0,0,IF(C80&gt;=200%,C79*60%-C73*35%,IF(C80&gt;=100%,C79*50%-C73*15%,IF(C80&gt;=50%,C79*40%-C73*5%,IF(C80&lt;50%,C79*30%,0))))),0)</f>
        <v>889</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293" t="s">
        <v>1410</v>
      </c>
      <c r="B83" s="3294"/>
      <c r="C83" s="3294"/>
      <c r="D83" s="3294"/>
      <c r="E83" s="3294"/>
      <c r="F83" s="3294"/>
      <c r="G83" s="3294"/>
      <c r="H83" s="3294"/>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285" t="s">
        <v>1375</v>
      </c>
      <c r="B84" s="3286"/>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3">
        <f ca="1">ROUND(D45/(1+'数据-取费表'!C42),0)</f>
        <v>1492</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3">
        <f ca="1">IF(H88="仅含出让金",C87+C90+C91+C92+C93+C94,C87+C91+C92+C93+C94)</f>
        <v>7</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7"/>
      <c r="D88" s="2362"/>
      <c r="E88" s="185" t="s">
        <v>1413</v>
      </c>
      <c r="F88" s="2147"/>
      <c r="G88" s="186" t="s">
        <v>1414</v>
      </c>
      <c r="H88" s="1683"/>
      <c r="I88" s="1680"/>
      <c r="J88" s="2307" t="s">
        <v>2286</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7"/>
      <c r="D90" s="2362"/>
      <c r="E90" s="185" t="str">
        <f>IF(H88="-","土地取得成本中已包含该笔费用"," ")</f>
        <v xml:space="preserve"> </v>
      </c>
      <c r="F90" s="2147"/>
      <c r="G90" s="3251" t="s">
        <v>2129</v>
      </c>
      <c r="H90" s="3252"/>
      <c r="I90" s="1680"/>
      <c r="J90" s="2307" t="s">
        <v>2287</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1">
        <f>IF(H91="——",成本法!C33,I91)</f>
        <v>0</v>
      </c>
      <c r="D91" s="2362"/>
      <c r="E91" s="3282" t="s">
        <v>1419</v>
      </c>
      <c r="F91" s="3283"/>
      <c r="G91" s="3283"/>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1">
        <f>ROUND((C87+C90+C91)*D92,0)</f>
        <v>0</v>
      </c>
      <c r="D92" s="2368"/>
      <c r="E92" s="3282" t="s">
        <v>1422</v>
      </c>
      <c r="F92" s="3283"/>
      <c r="G92" s="3283"/>
      <c r="H92" s="3284"/>
      <c r="I92" s="1680"/>
      <c r="J92" s="2308" t="s">
        <v>2288</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1">
        <f ca="1">ROUND(D45*D93/(1+'数据-取费表'!C42),0)</f>
        <v>7</v>
      </c>
      <c r="D93" s="2362">
        <f>'数据-取费表'!B43</f>
        <v>5.000000000000001E-3</v>
      </c>
      <c r="E93" s="3282" t="s">
        <v>1406</v>
      </c>
      <c r="F93" s="3283"/>
      <c r="G93" s="3283"/>
      <c r="H93" s="3284"/>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7">
        <f>ROUND((C87+C90+C91)*D94,0)</f>
        <v>0</v>
      </c>
      <c r="D94" s="2362">
        <v>0.2</v>
      </c>
      <c r="E94" s="3327" t="s">
        <v>1426</v>
      </c>
      <c r="F94" s="3328"/>
      <c r="G94" s="3328"/>
      <c r="H94" s="3329"/>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3">
        <f ca="1">ROUND(C85-C86,0)</f>
        <v>1485</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3">
        <f ca="1">IF(C95&lt;=0,0,C95/C86)</f>
        <v>212.14285714285714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4">
        <f ca="1">ROUND(IF(C95&lt;=0,0,IF(C96&gt;=200%,C95*60%-C86*35%,IF(C96&gt;=100%,C95*50%-C86*15%,IF(C96&gt;=50%,C95*40%-C86*5%,IF(C96&lt;50%,C95*30%,0))))),0)</f>
        <v>889</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32" t="s">
        <v>1428</v>
      </c>
      <c r="B100" s="3233"/>
      <c r="C100" s="3233"/>
      <c r="D100" s="3267"/>
      <c r="E100" s="3233" t="s">
        <v>1429</v>
      </c>
      <c r="F100" s="3233"/>
      <c r="G100" s="3233"/>
      <c r="H100" s="3267"/>
      <c r="I100" s="121"/>
    </row>
    <row r="101" spans="1:35" ht="18.75" customHeight="1">
      <c r="A101" s="3275" t="s">
        <v>1430</v>
      </c>
      <c r="B101" s="3276"/>
      <c r="C101" s="2370" t="str">
        <f>C4</f>
        <v>成本法</v>
      </c>
      <c r="D101" s="2371" t="str">
        <f>D4</f>
        <v>收益法</v>
      </c>
      <c r="E101" s="3245" t="s">
        <v>1431</v>
      </c>
      <c r="F101" s="3246"/>
      <c r="G101" s="1686" t="s">
        <v>1432</v>
      </c>
      <c r="H101" s="2380">
        <f ca="1">H118</f>
        <v>1567</v>
      </c>
      <c r="I101" s="121"/>
    </row>
    <row r="102" spans="1:35" ht="18.75" customHeight="1">
      <c r="A102" s="3277" t="s">
        <v>1433</v>
      </c>
      <c r="B102" s="2369" t="s">
        <v>1432</v>
      </c>
      <c r="C102" s="2370">
        <f ca="1">IF(D32="楼面单价",ROUND(C19,0),C19)</f>
        <v>1673</v>
      </c>
      <c r="D102" s="2371">
        <f ca="1">IF(D32="楼面单价",ROUND(D19,0),D19)</f>
        <v>1460</v>
      </c>
      <c r="E102" s="3245"/>
      <c r="F102" s="3246"/>
      <c r="G102" s="1686" t="s">
        <v>1434</v>
      </c>
      <c r="H102" s="2340">
        <f ca="1">I118</f>
        <v>6597</v>
      </c>
      <c r="I102" s="121"/>
    </row>
    <row r="103" spans="1:35" ht="42.75" customHeight="1">
      <c r="A103" s="3277"/>
      <c r="B103" s="2369" t="s">
        <v>1434</v>
      </c>
      <c r="C103" s="2372">
        <f ca="1">C20</f>
        <v>7043</v>
      </c>
      <c r="D103" s="2373">
        <f ca="1">D20</f>
        <v>6147</v>
      </c>
      <c r="E103" s="3238" t="s">
        <v>1435</v>
      </c>
      <c r="F103" s="3239"/>
      <c r="G103" s="1687" t="s">
        <v>1436</v>
      </c>
      <c r="H103" s="2380">
        <f>IF(D36="正常操作",H104+H105+H106,H105+H106)</f>
        <v>0</v>
      </c>
      <c r="I103" s="121"/>
    </row>
    <row r="104" spans="1:35" ht="18.75" customHeight="1">
      <c r="A104" s="3277" t="s">
        <v>1437</v>
      </c>
      <c r="B104" s="2374" t="s">
        <v>1432</v>
      </c>
      <c r="C104" s="2375">
        <f ca="1">H118</f>
        <v>1567</v>
      </c>
      <c r="D104" s="2376"/>
      <c r="E104" s="1554" t="s">
        <v>1438</v>
      </c>
      <c r="F104" s="1547"/>
      <c r="G104" s="1687" t="s">
        <v>1436</v>
      </c>
      <c r="H104" s="2381">
        <f>IF(D36="同一抵押权人同一抵押物续贷",C36&amp;"（续贷，未扣减，详见特别提示）",C36)</f>
        <v>0</v>
      </c>
      <c r="I104" s="121"/>
    </row>
    <row r="105" spans="1:35" ht="18.75" customHeight="1" thickBot="1">
      <c r="A105" s="3287"/>
      <c r="B105" s="2377" t="s">
        <v>1434</v>
      </c>
      <c r="C105" s="2378">
        <f ca="1">I118</f>
        <v>6597</v>
      </c>
      <c r="D105" s="2379"/>
      <c r="E105" s="1554" t="s">
        <v>1439</v>
      </c>
      <c r="F105" s="1547"/>
      <c r="G105" s="1687" t="s">
        <v>1436</v>
      </c>
      <c r="H105" s="2382">
        <f>C37</f>
        <v>0</v>
      </c>
      <c r="I105" s="121"/>
    </row>
    <row r="106" spans="1:35" ht="18.75" customHeight="1">
      <c r="A106" s="646" t="s">
        <v>1440</v>
      </c>
      <c r="B106" s="646"/>
      <c r="C106" s="646"/>
      <c r="D106" s="646"/>
      <c r="E106" s="1688" t="s">
        <v>1441</v>
      </c>
      <c r="F106" s="1547"/>
      <c r="G106" s="1687" t="s">
        <v>1436</v>
      </c>
      <c r="H106" s="2382">
        <f>C38</f>
        <v>0</v>
      </c>
      <c r="I106" s="121"/>
    </row>
    <row r="107" spans="1:35" ht="18.75" customHeight="1">
      <c r="A107" s="121"/>
      <c r="B107" s="121"/>
      <c r="C107" s="121"/>
      <c r="D107" s="121"/>
      <c r="E107" s="3278" t="str">
        <f>IF(项目基本情况!E8="已注销","——","3.房地产抵押价值")</f>
        <v>3.房地产抵押价值</v>
      </c>
      <c r="F107" s="3246"/>
      <c r="G107" s="1686" t="s">
        <v>1432</v>
      </c>
      <c r="H107" s="2380">
        <f ca="1">IF(E107="——","——",H101-H103)</f>
        <v>1567</v>
      </c>
      <c r="I107" s="121"/>
    </row>
    <row r="108" spans="1:35" ht="18.75" customHeight="1">
      <c r="A108" s="121"/>
      <c r="B108" s="121"/>
      <c r="C108" s="121"/>
      <c r="D108" s="121"/>
      <c r="E108" s="3278"/>
      <c r="F108" s="3246"/>
      <c r="G108" s="1686" t="s">
        <v>1434</v>
      </c>
      <c r="H108" s="2340">
        <f ca="1">IF(H107=H101,H102,ROUND(H107*10000/'数据-汇总表'!E3,0))</f>
        <v>6597</v>
      </c>
      <c r="I108" s="121"/>
    </row>
    <row r="109" spans="1:35" ht="18.75" customHeight="1">
      <c r="A109" s="121"/>
      <c r="B109" s="121"/>
      <c r="C109" s="121"/>
      <c r="D109" s="121"/>
      <c r="E109" s="3278" t="str">
        <f>IF(项目基本情况!E8="已注销及未注销","4.抵押担保权已注销时的房地产抵押价值",IF(项目基本情况!E8="已注销","3.抵押担保权已注销时的房地产抵押价值","——"))</f>
        <v>——</v>
      </c>
      <c r="F109" s="3246"/>
      <c r="G109" s="1686" t="s">
        <v>1432</v>
      </c>
      <c r="H109" s="2383" t="str">
        <f>IF(E109="——","——",H101-H105-H106)</f>
        <v>——</v>
      </c>
      <c r="I109" s="121"/>
    </row>
    <row r="110" spans="1:35" ht="18.75" customHeight="1">
      <c r="A110" s="121"/>
      <c r="B110" s="121"/>
      <c r="C110" s="121"/>
      <c r="D110" s="121"/>
      <c r="E110" s="3278"/>
      <c r="F110" s="3246"/>
      <c r="G110" s="1686" t="s">
        <v>1434</v>
      </c>
      <c r="H110" s="2340" t="str">
        <f>IF(H109="——","——",ROUND(H109*10000/'数据-汇总表'!E3,0))</f>
        <v>——</v>
      </c>
      <c r="I110" s="121"/>
    </row>
    <row r="111" spans="1:35" ht="18.75" customHeight="1">
      <c r="A111" s="121"/>
      <c r="B111" s="121"/>
      <c r="C111" s="121"/>
      <c r="D111" s="121"/>
      <c r="E111" s="3279" t="str">
        <f>IF(项目基本情况!E9="抵押净值",IF(OR(项目基本情况!E8="已注销",项目基本情况!E8="房地产抵押价值"),"4.抵押净值","5.抵押净值"),"——")</f>
        <v>4.抵押净值</v>
      </c>
      <c r="F111" s="3265"/>
      <c r="G111" s="1686" t="s">
        <v>1432</v>
      </c>
      <c r="H111" s="2380">
        <f ca="1">IF(E111="——","——",N59)</f>
        <v>1409</v>
      </c>
      <c r="I111" s="121"/>
    </row>
    <row r="112" spans="1:35" ht="18.75" customHeight="1" thickBot="1">
      <c r="A112" s="121"/>
      <c r="B112" s="121"/>
      <c r="C112" s="121"/>
      <c r="D112" s="121"/>
      <c r="E112" s="3280"/>
      <c r="F112" s="3281"/>
      <c r="G112" s="1689" t="s">
        <v>1434</v>
      </c>
      <c r="H112" s="2384">
        <f ca="1">IF(E111="——","——",N61)</f>
        <v>5932</v>
      </c>
      <c r="I112" s="121"/>
    </row>
    <row r="113" spans="1:27" ht="18.75" customHeight="1">
      <c r="A113" s="121"/>
      <c r="B113" s="121"/>
      <c r="C113" s="121"/>
      <c r="D113" s="121"/>
      <c r="E113" s="3288" t="s">
        <v>1440</v>
      </c>
      <c r="F113" s="3288"/>
      <c r="G113" s="3288"/>
      <c r="H113" s="3288"/>
      <c r="I113" s="121"/>
    </row>
    <row r="114" spans="1:27" ht="3.75" customHeight="1">
      <c r="A114" s="646"/>
      <c r="B114" s="646"/>
      <c r="C114" s="646"/>
      <c r="D114" s="646"/>
      <c r="E114" s="1670"/>
      <c r="F114" s="1670"/>
      <c r="G114" s="1670"/>
      <c r="H114" s="1670"/>
      <c r="I114" s="646"/>
    </row>
    <row r="115" spans="1:27" ht="18.75" customHeight="1">
      <c r="A115" s="3296" t="s">
        <v>1442</v>
      </c>
      <c r="B115" s="3297"/>
      <c r="C115" s="3297"/>
      <c r="D115" s="3297"/>
      <c r="E115" s="3297"/>
      <c r="F115" s="3297"/>
      <c r="G115" s="3297"/>
      <c r="H115" s="3297"/>
      <c r="I115" s="3298"/>
    </row>
    <row r="116" spans="1:27" ht="27" customHeight="1">
      <c r="A116" s="3253" t="s">
        <v>1443</v>
      </c>
      <c r="B116" s="3257" t="s">
        <v>1444</v>
      </c>
      <c r="C116" s="3257" t="s">
        <v>1445</v>
      </c>
      <c r="D116" s="3263" t="s">
        <v>1446</v>
      </c>
      <c r="E116" s="3264"/>
      <c r="F116" s="3295" t="s">
        <v>1447</v>
      </c>
      <c r="G116" s="3295"/>
      <c r="H116" s="3253" t="s">
        <v>1448</v>
      </c>
      <c r="I116" s="3253"/>
    </row>
    <row r="117" spans="1:27" ht="18.75" customHeight="1">
      <c r="A117" s="3253"/>
      <c r="B117" s="3258"/>
      <c r="C117" s="3258"/>
      <c r="D117" s="2149" t="s">
        <v>1449</v>
      </c>
      <c r="E117" s="2149" t="s">
        <v>1450</v>
      </c>
      <c r="F117" s="2149" t="s">
        <v>1449</v>
      </c>
      <c r="G117" s="2149" t="s">
        <v>1451</v>
      </c>
      <c r="H117" s="2149" t="s">
        <v>1449</v>
      </c>
      <c r="I117" s="2149" t="s">
        <v>1451</v>
      </c>
    </row>
    <row r="118" spans="1:27" ht="24.75" customHeight="1">
      <c r="A118" s="2385" t="str">
        <f>项目基本情况!S2</f>
        <v>重庆市永川区房地产</v>
      </c>
      <c r="B118" s="2149">
        <f>M18</f>
        <v>2375.33</v>
      </c>
      <c r="C118" s="2149">
        <f>M19</f>
        <v>0</v>
      </c>
      <c r="D118" s="2149">
        <f ca="1">ROUND(IF(D32="总价",C34,E118*B118/10000),0)</f>
        <v>461</v>
      </c>
      <c r="E118" s="2149">
        <f ca="1">ROUND(IF(C33="自定义",IF(D32="楼面单价",C34,D118*10000/B118),I118-G118),0)</f>
        <v>1941</v>
      </c>
      <c r="F118" s="2149">
        <f ca="1">ROUND(IF(D32="总价",C35,G118*B118/10000),0)</f>
        <v>1106</v>
      </c>
      <c r="G118" s="2149">
        <f ca="1">ROUND(IF(D32="楼面单价",C35,F118*10000/B118),0)</f>
        <v>4656</v>
      </c>
      <c r="H118" s="2149">
        <f ca="1">ROUND(IF(D32="总价",C32,I118*B118/10000),0)</f>
        <v>1567</v>
      </c>
      <c r="I118" s="2149">
        <f ca="1">ROUND(IF(D32="楼面单价",C32,H118*10000/B118),0)</f>
        <v>6597</v>
      </c>
    </row>
    <row r="119" spans="1:27" ht="18.75" customHeight="1">
      <c r="A119" s="3253" t="s">
        <v>1452</v>
      </c>
      <c r="B119" s="3253"/>
      <c r="C119" s="3253"/>
      <c r="D119" s="3259" t="str">
        <f ca="1">NUMBERSTRING(INT(D118*10000),2)&amp;"元整"</f>
        <v>肆佰陆拾壹万元整</v>
      </c>
      <c r="E119" s="3260"/>
      <c r="F119" s="3259" t="str">
        <f ca="1">NUMBERSTRING(INT(F118*10000),2)&amp;"元整"</f>
        <v>壹仟壹佰零陆万元整</v>
      </c>
      <c r="G119" s="3260"/>
      <c r="H119" s="3259" t="str">
        <f ca="1">NUMBERSTRING(INT(H118*10000),2)&amp;"元整"</f>
        <v>壹仟伍佰陆拾柒万元整</v>
      </c>
      <c r="I119" s="3260"/>
    </row>
    <row r="120" spans="1:27" ht="18.75" customHeight="1">
      <c r="A120" s="3254" t="str">
        <f>IF(项目基本情况!B9="房地产市场价值","",MID(E103,3,LEN(E103)-2))</f>
        <v>估价师知悉的法定优先受偿款</v>
      </c>
      <c r="B120" s="3255"/>
      <c r="C120" s="3256"/>
      <c r="D120" s="3254">
        <f>H103</f>
        <v>0</v>
      </c>
      <c r="E120" s="3255"/>
      <c r="F120" s="3255"/>
      <c r="G120" s="3255"/>
      <c r="H120" s="3255"/>
      <c r="I120" s="3256"/>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59" t="s">
        <v>1452</v>
      </c>
      <c r="B121" s="3261"/>
      <c r="C121" s="3260"/>
      <c r="D121" s="3259" t="str">
        <f>IF(D120=0,"零元整",NUMBERSTRING(INT(D120*10000),2)&amp;"元整")</f>
        <v>零元整</v>
      </c>
      <c r="E121" s="3261"/>
      <c r="F121" s="3261"/>
      <c r="G121" s="3261"/>
      <c r="H121" s="3261"/>
      <c r="I121" s="3260"/>
      <c r="AA121" s="684"/>
    </row>
    <row r="122" spans="1:27" ht="18.75" customHeight="1">
      <c r="A122" s="3265" t="str">
        <f>IF(项目基本情况!B9="房地产市场价值","",MID(E107,3,LEN(E107)-2))</f>
        <v>房地产抵押价值</v>
      </c>
      <c r="B122" s="3265"/>
      <c r="C122" s="3265"/>
      <c r="D122" s="3254">
        <f ca="1">H107</f>
        <v>1567</v>
      </c>
      <c r="E122" s="3255"/>
      <c r="F122" s="3255"/>
      <c r="G122" s="3255"/>
      <c r="H122" s="3255"/>
      <c r="I122" s="3256"/>
      <c r="AA122" s="684"/>
    </row>
    <row r="123" spans="1:27" ht="18.75" customHeight="1">
      <c r="A123" s="3253" t="s">
        <v>1452</v>
      </c>
      <c r="B123" s="3253"/>
      <c r="C123" s="3253"/>
      <c r="D123" s="3259" t="str">
        <f ca="1">NUMBERSTRING(INT(D122*10000),2)&amp;"元整"</f>
        <v>壹仟伍佰陆拾柒万元整</v>
      </c>
      <c r="E123" s="3261"/>
      <c r="F123" s="3261"/>
      <c r="G123" s="3261"/>
      <c r="H123" s="3261"/>
      <c r="I123" s="3260"/>
      <c r="AA123" s="684"/>
    </row>
    <row r="124" spans="1:27" ht="18.75" customHeight="1">
      <c r="A124" s="3265" t="str">
        <f>IF(项目基本情况!B9="房地产市场价值","",MID(E109,3,LEN(E109)-2))</f>
        <v/>
      </c>
      <c r="B124" s="3265"/>
      <c r="C124" s="3265"/>
      <c r="D124" s="3254" t="str">
        <f>H109</f>
        <v>——</v>
      </c>
      <c r="E124" s="3255"/>
      <c r="F124" s="3255"/>
      <c r="G124" s="3255"/>
      <c r="H124" s="3255"/>
      <c r="I124" s="3256"/>
      <c r="AA124" s="684"/>
    </row>
    <row r="125" spans="1:27" ht="18.75" customHeight="1">
      <c r="A125" s="3253" t="s">
        <v>1452</v>
      </c>
      <c r="B125" s="3253"/>
      <c r="C125" s="3253"/>
      <c r="D125" s="3259" t="e">
        <f>NUMBERSTRING(INT(D124*10000),2)&amp;"元整"</f>
        <v>#VALUE!</v>
      </c>
      <c r="E125" s="3261"/>
      <c r="F125" s="3261"/>
      <c r="G125" s="3261"/>
      <c r="H125" s="3261"/>
      <c r="I125" s="3260"/>
      <c r="AA125" s="684"/>
    </row>
    <row r="126" spans="1:27" ht="18.75" customHeight="1">
      <c r="A126" s="3265" t="str">
        <f>IF(项目基本情况!B9="房地产市场价值","",MID(E111,3,LEN(E111)-2))</f>
        <v>抵押净值</v>
      </c>
      <c r="B126" s="3265"/>
      <c r="C126" s="3265"/>
      <c r="D126" s="3254">
        <f ca="1">H111</f>
        <v>1409</v>
      </c>
      <c r="E126" s="3255"/>
      <c r="F126" s="3255"/>
      <c r="G126" s="3255"/>
      <c r="H126" s="3255"/>
      <c r="I126" s="3256"/>
      <c r="AA126" s="684"/>
    </row>
    <row r="127" spans="1:27" ht="18.75" customHeight="1">
      <c r="A127" s="3253" t="s">
        <v>1452</v>
      </c>
      <c r="B127" s="3253"/>
      <c r="C127" s="3253"/>
      <c r="D127" s="3259" t="str">
        <f ca="1">NUMBERSTRING(INT(D126*10000),2)&amp;"元整"</f>
        <v>壹仟肆佰零玖万元整</v>
      </c>
      <c r="E127" s="3261"/>
      <c r="F127" s="3261"/>
      <c r="G127" s="3261"/>
      <c r="H127" s="3261"/>
      <c r="I127" s="3260"/>
      <c r="AA127" s="684"/>
    </row>
    <row r="128" spans="1:27" ht="21.75" customHeight="1">
      <c r="A128" s="3262" t="s">
        <v>1453</v>
      </c>
      <c r="B128" s="3262"/>
      <c r="C128" s="3262"/>
      <c r="D128" s="3262"/>
      <c r="E128" s="3262"/>
      <c r="F128" s="3262"/>
      <c r="G128" s="3262"/>
      <c r="H128" s="3262"/>
      <c r="I128" s="3262"/>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131"/>
  <sheetViews>
    <sheetView view="pageBreakPreview" topLeftCell="B22" zoomScale="85" zoomScaleNormal="60" zoomScaleSheetLayoutView="85" workbookViewId="0">
      <selection activeCell="L42" sqref="L4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f>F65</f>
        <v>583</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ROUND(IF(D3="",B2*10000/'数据-汇总表'!E3,B2*10000/D3),0)</f>
        <v>2454</v>
      </c>
      <c r="C3" s="195" t="s">
        <v>1869</v>
      </c>
      <c r="D3" s="1110"/>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50" t="s">
        <v>1770</v>
      </c>
      <c r="D4" s="3351"/>
      <c r="E4" s="3352" t="s">
        <v>1771</v>
      </c>
      <c r="F4" s="3353"/>
      <c r="G4" s="3350" t="s">
        <v>1772</v>
      </c>
      <c r="H4" s="3351"/>
      <c r="I4" s="3350" t="s">
        <v>1773</v>
      </c>
      <c r="J4" s="3351"/>
      <c r="K4" s="537" t="s">
        <v>1774</v>
      </c>
      <c r="L4" s="2485"/>
      <c r="M4" s="2486"/>
      <c r="N4" s="2486"/>
      <c r="O4" s="2486"/>
      <c r="P4" s="3354" t="s">
        <v>1775</v>
      </c>
      <c r="Q4" s="3355"/>
      <c r="R4" s="3337" t="s">
        <v>1771</v>
      </c>
      <c r="S4" s="3338"/>
      <c r="T4" s="3337" t="s">
        <v>1772</v>
      </c>
      <c r="U4" s="3338"/>
      <c r="V4" s="3362" t="s">
        <v>1773</v>
      </c>
      <c r="W4" s="3362"/>
      <c r="X4" s="1264"/>
      <c r="Y4" s="3337" t="s">
        <v>1775</v>
      </c>
      <c r="Z4" s="3338"/>
      <c r="AA4" s="3332" t="s">
        <v>1771</v>
      </c>
      <c r="AB4" s="3333" t="s">
        <v>1772</v>
      </c>
      <c r="AC4" s="3332" t="s">
        <v>1773</v>
      </c>
    </row>
    <row r="5" spans="1:29" ht="63" customHeight="1">
      <c r="A5" s="348"/>
      <c r="B5" s="349"/>
      <c r="C5" s="3343" t="s">
        <v>1673</v>
      </c>
      <c r="D5" s="3344"/>
      <c r="E5" s="3341" t="str">
        <f>土地案例!A2</f>
        <v>职教实训基地北侧</v>
      </c>
      <c r="F5" s="3342"/>
      <c r="G5" s="3343" t="str">
        <f>土地案例!A3</f>
        <v>自动驾驶应用示范中心东侧</v>
      </c>
      <c r="H5" s="3344"/>
      <c r="I5" s="3343" t="str">
        <f>土地案例!A4</f>
        <v>天悦府东侧</v>
      </c>
      <c r="J5" s="3344"/>
      <c r="K5" s="537"/>
      <c r="L5" s="2485"/>
      <c r="M5" s="2486"/>
      <c r="N5" s="2486"/>
      <c r="O5" s="2486"/>
      <c r="P5" s="3356"/>
      <c r="Q5" s="3357"/>
      <c r="R5" s="3339"/>
      <c r="S5" s="3340"/>
      <c r="T5" s="3339"/>
      <c r="U5" s="3340"/>
      <c r="V5" s="3362"/>
      <c r="W5" s="3362"/>
      <c r="X5" s="1264"/>
      <c r="Y5" s="3339"/>
      <c r="Z5" s="3340"/>
      <c r="AA5" s="3333"/>
      <c r="AB5" s="3333"/>
      <c r="AC5" s="3333"/>
    </row>
    <row r="6" spans="1:29" ht="15.75" thickBot="1">
      <c r="A6" s="350"/>
      <c r="B6" s="351"/>
      <c r="C6" s="3345" t="s">
        <v>1677</v>
      </c>
      <c r="D6" s="3346"/>
      <c r="E6" s="3347" t="s">
        <v>1677</v>
      </c>
      <c r="F6" s="3348"/>
      <c r="G6" s="3345" t="s">
        <v>1677</v>
      </c>
      <c r="H6" s="3346"/>
      <c r="I6" s="3345" t="s">
        <v>1677</v>
      </c>
      <c r="J6" s="3346"/>
      <c r="K6" s="537" t="s">
        <v>1678</v>
      </c>
      <c r="L6" s="2485"/>
      <c r="M6" s="2486"/>
      <c r="N6" s="2486"/>
      <c r="O6" s="2486"/>
      <c r="P6" s="3358"/>
      <c r="Q6" s="3359"/>
      <c r="R6" s="3339"/>
      <c r="S6" s="3340"/>
      <c r="T6" s="3360"/>
      <c r="U6" s="3361"/>
      <c r="V6" s="3362"/>
      <c r="W6" s="3362"/>
      <c r="X6" s="1264"/>
      <c r="Y6" s="3360"/>
      <c r="Z6" s="3361"/>
      <c r="AA6" s="3334"/>
      <c r="AB6" s="3334"/>
      <c r="AC6" s="3334"/>
    </row>
    <row r="7" spans="1:29" s="102" customFormat="1" ht="15.75" thickBot="1">
      <c r="A7" s="352" t="s">
        <v>1679</v>
      </c>
      <c r="B7" s="353"/>
      <c r="C7" s="354">
        <f>'数据-取费表'!B2</f>
        <v>45544</v>
      </c>
      <c r="D7" s="355">
        <v>100</v>
      </c>
      <c r="E7" s="356">
        <f>土地案例!AG2</f>
        <v>45463.000497685185</v>
      </c>
      <c r="F7" s="357">
        <f>SUMIF(69:69,YEAR(E7)&amp;"-"&amp;INT((MONTH(E7)+2)/3),70:70)</f>
        <v>100</v>
      </c>
      <c r="G7" s="1821">
        <f>土地案例!AG3</f>
        <v>45463.000497685185</v>
      </c>
      <c r="H7" s="355">
        <f>SUMIF(69:69,YEAR(G7)&amp;"-"&amp;INT((MONTH(G7)+2)/3),70:70)</f>
        <v>100</v>
      </c>
      <c r="I7" s="1821">
        <f>土地案例!AG4</f>
        <v>45463.000497685185</v>
      </c>
      <c r="J7" s="355">
        <f>SUMIF(69:69,YEAR(I7)&amp;"-"&amp;INT((MONTH(I7)+2)/3),70:70)</f>
        <v>100</v>
      </c>
      <c r="K7" s="38"/>
      <c r="L7" s="2487"/>
      <c r="M7" s="2439"/>
      <c r="N7" s="2439"/>
      <c r="O7" s="2439"/>
      <c r="P7" s="3335" t="s">
        <v>1680</v>
      </c>
      <c r="Q7" s="3363"/>
      <c r="R7" s="664" t="s">
        <v>14</v>
      </c>
      <c r="S7" s="665">
        <f t="shared" ref="S7:S15" si="0">F7</f>
        <v>100</v>
      </c>
      <c r="T7" s="664" t="s">
        <v>14</v>
      </c>
      <c r="U7" s="665">
        <f t="shared" ref="U7:U15" si="1">H7</f>
        <v>100</v>
      </c>
      <c r="V7" s="664" t="s">
        <v>14</v>
      </c>
      <c r="W7" s="665">
        <f t="shared" ref="W7:W15" si="2">J7</f>
        <v>100</v>
      </c>
      <c r="X7" s="666"/>
      <c r="Y7" s="3335" t="s">
        <v>1680</v>
      </c>
      <c r="Z7" s="3336"/>
      <c r="AA7" s="50">
        <f>D7/F7</f>
        <v>1</v>
      </c>
      <c r="AB7" s="50">
        <f>D7/H7</f>
        <v>1</v>
      </c>
      <c r="AC7" s="50">
        <f>D7/J7</f>
        <v>1</v>
      </c>
    </row>
    <row r="8" spans="1:29" s="102" customFormat="1" ht="15.75" thickBot="1">
      <c r="A8" s="352" t="s">
        <v>1681</v>
      </c>
      <c r="B8" s="353"/>
      <c r="C8" s="358" t="s">
        <v>1682</v>
      </c>
      <c r="D8" s="355">
        <v>100</v>
      </c>
      <c r="E8" s="358" t="s">
        <v>3419</v>
      </c>
      <c r="F8" s="357">
        <f>SUMIF(72:72,E8,73:73)-SUMIF(72:72,C8,73:73)+100</f>
        <v>100</v>
      </c>
      <c r="G8" s="358" t="s">
        <v>3419</v>
      </c>
      <c r="H8" s="355">
        <f>SUMIF(72:72,G8,73:73)-SUMIF(72:72,C8,73:73)+100</f>
        <v>100</v>
      </c>
      <c r="I8" s="358" t="s">
        <v>3419</v>
      </c>
      <c r="J8" s="355">
        <f>SUMIF(72:72,I8,73:73)-SUMIF(72:72,C8,73:73)+100</f>
        <v>100</v>
      </c>
      <c r="K8" s="38"/>
      <c r="L8" s="2487"/>
      <c r="M8" s="2439"/>
      <c r="N8" s="2439"/>
      <c r="O8" s="2439"/>
      <c r="P8" s="3335" t="s">
        <v>1683</v>
      </c>
      <c r="Q8" s="3336"/>
      <c r="R8" s="664" t="s">
        <v>14</v>
      </c>
      <c r="S8" s="665">
        <f t="shared" si="0"/>
        <v>100</v>
      </c>
      <c r="T8" s="664" t="s">
        <v>14</v>
      </c>
      <c r="U8" s="665">
        <f t="shared" si="1"/>
        <v>100</v>
      </c>
      <c r="V8" s="664" t="s">
        <v>14</v>
      </c>
      <c r="W8" s="665">
        <f t="shared" si="2"/>
        <v>100</v>
      </c>
      <c r="X8" s="666"/>
      <c r="Y8" s="3335" t="s">
        <v>1683</v>
      </c>
      <c r="Z8" s="3336"/>
      <c r="AA8" s="50">
        <f t="shared" ref="AA8:AA45" si="3">D8/F8</f>
        <v>1</v>
      </c>
      <c r="AB8" s="50">
        <f t="shared" ref="AB8:AB45" si="4">D8/H8</f>
        <v>1</v>
      </c>
      <c r="AC8" s="50">
        <f t="shared" ref="AC8:AC45" si="5">D8/J8</f>
        <v>1</v>
      </c>
    </row>
    <row r="9" spans="1:29" s="102" customFormat="1">
      <c r="A9" s="359" t="s">
        <v>1684</v>
      </c>
      <c r="B9" s="60" t="s">
        <v>1685</v>
      </c>
      <c r="C9" s="1824" t="s">
        <v>3439</v>
      </c>
      <c r="D9" s="59">
        <v>100</v>
      </c>
      <c r="E9" s="1824" t="s">
        <v>3439</v>
      </c>
      <c r="F9" s="59">
        <f>SUMIF(74:74,E9,75:75)-SUMIF(74:74,C9,75:75)+100</f>
        <v>100</v>
      </c>
      <c r="G9" s="1824" t="s">
        <v>3439</v>
      </c>
      <c r="H9" s="59">
        <f>SUMIF(74:74,G9,75:75)-SUMIF(74:74,C9,75:75)+100</f>
        <v>100</v>
      </c>
      <c r="I9" s="1824" t="s">
        <v>3439</v>
      </c>
      <c r="J9" s="59">
        <f>SUMIF(74:74,I9,75:75)-SUMIF(74:74,C9,75:75)+100</f>
        <v>100</v>
      </c>
      <c r="K9" s="38"/>
      <c r="L9" s="2487"/>
      <c r="M9" s="2439"/>
      <c r="N9" s="2439"/>
      <c r="O9" s="2539"/>
      <c r="P9" s="3349" t="s">
        <v>1686</v>
      </c>
      <c r="Q9" s="530" t="str">
        <f t="shared" ref="Q9:Q15" si="6">B9</f>
        <v>用途</v>
      </c>
      <c r="R9" s="664" t="s">
        <v>14</v>
      </c>
      <c r="S9" s="665">
        <f t="shared" si="0"/>
        <v>100</v>
      </c>
      <c r="T9" s="664" t="s">
        <v>14</v>
      </c>
      <c r="U9" s="665">
        <f t="shared" si="1"/>
        <v>100</v>
      </c>
      <c r="V9" s="664" t="s">
        <v>14</v>
      </c>
      <c r="W9" s="665">
        <f t="shared" si="2"/>
        <v>100</v>
      </c>
      <c r="X9" s="666"/>
      <c r="Y9" s="330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120</v>
      </c>
      <c r="G10" s="402"/>
      <c r="H10" s="119">
        <f>ROUND(100/'数据-取费表'!G16,0)</f>
        <v>120</v>
      </c>
      <c r="I10" s="402"/>
      <c r="J10" s="119">
        <f>ROUND(100/'数据-取费表'!G16,0)</f>
        <v>120</v>
      </c>
      <c r="K10" s="592"/>
      <c r="L10" s="2488"/>
      <c r="M10" s="2489"/>
      <c r="N10" s="2489"/>
      <c r="O10" s="2540"/>
      <c r="P10" s="3349"/>
      <c r="Q10" s="530" t="str">
        <f t="shared" si="6"/>
        <v>土地使用年限（年）</v>
      </c>
      <c r="R10" s="664" t="s">
        <v>14</v>
      </c>
      <c r="S10" s="665">
        <f t="shared" si="0"/>
        <v>120</v>
      </c>
      <c r="T10" s="664" t="s">
        <v>14</v>
      </c>
      <c r="U10" s="665">
        <f t="shared" si="1"/>
        <v>120</v>
      </c>
      <c r="V10" s="664" t="s">
        <v>14</v>
      </c>
      <c r="W10" s="665">
        <f t="shared" si="2"/>
        <v>120</v>
      </c>
      <c r="X10" s="666"/>
      <c r="Y10" s="3308"/>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f>LOOKUP(E11,79:79,80:80)-LOOKUP(C11,79:79,80:80)+100</f>
        <v>100</v>
      </c>
      <c r="G11" s="369"/>
      <c r="H11" s="119">
        <f>LOOKUP(G11,79:79,80:80)-LOOKUP(C11,79:79,80:80)+100</f>
        <v>100</v>
      </c>
      <c r="I11" s="368"/>
      <c r="J11" s="119">
        <f>LOOKUP(I11,79:79,80:80)-LOOKUP(C11,79:79,80:80)+100</f>
        <v>100</v>
      </c>
      <c r="K11" s="593"/>
      <c r="L11" s="2490"/>
      <c r="M11" s="2486"/>
      <c r="N11" s="2486"/>
      <c r="O11" s="2541"/>
      <c r="P11" s="3349"/>
      <c r="Q11" s="530" t="str">
        <f t="shared" si="6"/>
        <v>容积率</v>
      </c>
      <c r="R11" s="664" t="s">
        <v>14</v>
      </c>
      <c r="S11" s="665">
        <f t="shared" si="0"/>
        <v>100</v>
      </c>
      <c r="T11" s="664" t="s">
        <v>14</v>
      </c>
      <c r="U11" s="665">
        <f t="shared" si="1"/>
        <v>100</v>
      </c>
      <c r="V11" s="664" t="s">
        <v>14</v>
      </c>
      <c r="W11" s="665">
        <f t="shared" si="2"/>
        <v>100</v>
      </c>
      <c r="X11" s="666"/>
      <c r="Y11" s="3308"/>
      <c r="Z11" s="50" t="str">
        <f t="shared" si="7"/>
        <v>容积率</v>
      </c>
      <c r="AA11" s="50">
        <f t="shared" si="3"/>
        <v>1</v>
      </c>
      <c r="AB11" s="50">
        <f t="shared" si="4"/>
        <v>1</v>
      </c>
      <c r="AC11" s="50">
        <f t="shared" si="5"/>
        <v>1</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49"/>
      <c r="Q12" s="530" t="str">
        <f t="shared" si="6"/>
        <v>配建</v>
      </c>
      <c r="R12" s="664" t="s">
        <v>14</v>
      </c>
      <c r="S12" s="665">
        <f t="shared" si="0"/>
        <v>100</v>
      </c>
      <c r="T12" s="664" t="s">
        <v>14</v>
      </c>
      <c r="U12" s="665">
        <f t="shared" si="1"/>
        <v>100</v>
      </c>
      <c r="V12" s="664" t="s">
        <v>14</v>
      </c>
      <c r="W12" s="665">
        <f t="shared" si="2"/>
        <v>100</v>
      </c>
      <c r="X12" s="666"/>
      <c r="Y12" s="330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49"/>
      <c r="Q13" s="530">
        <f t="shared" si="6"/>
        <v>111</v>
      </c>
      <c r="R13" s="664" t="s">
        <v>14</v>
      </c>
      <c r="S13" s="665">
        <f t="shared" si="0"/>
        <v>100</v>
      </c>
      <c r="T13" s="664" t="s">
        <v>14</v>
      </c>
      <c r="U13" s="665">
        <f t="shared" si="1"/>
        <v>100</v>
      </c>
      <c r="V13" s="664" t="s">
        <v>14</v>
      </c>
      <c r="W13" s="665">
        <f t="shared" si="2"/>
        <v>100</v>
      </c>
      <c r="X13" s="666"/>
      <c r="Y13" s="3308"/>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49"/>
      <c r="Q14" s="530">
        <f t="shared" si="6"/>
        <v>111</v>
      </c>
      <c r="R14" s="664" t="s">
        <v>14</v>
      </c>
      <c r="S14" s="665">
        <f t="shared" si="0"/>
        <v>100</v>
      </c>
      <c r="T14" s="664" t="s">
        <v>14</v>
      </c>
      <c r="U14" s="665">
        <f t="shared" si="1"/>
        <v>100</v>
      </c>
      <c r="V14" s="664" t="s">
        <v>14</v>
      </c>
      <c r="W14" s="665">
        <f t="shared" si="2"/>
        <v>100</v>
      </c>
      <c r="X14" s="666"/>
      <c r="Y14" s="3308"/>
      <c r="Z14" s="50">
        <f t="shared" si="7"/>
        <v>111</v>
      </c>
      <c r="AA14" s="50">
        <f>D14/F14</f>
        <v>1</v>
      </c>
      <c r="AB14" s="50">
        <f>D14/H14</f>
        <v>1</v>
      </c>
      <c r="AC14" s="50">
        <f>D14/J14</f>
        <v>1</v>
      </c>
    </row>
    <row r="15" spans="1:29" ht="15">
      <c r="A15" s="379" t="s">
        <v>1690</v>
      </c>
      <c r="B15" s="58" t="s">
        <v>1257</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64" t="s">
        <v>1691</v>
      </c>
      <c r="Q15" s="1262" t="str">
        <f t="shared" si="6"/>
        <v>居住社区成熟度</v>
      </c>
      <c r="R15" s="667" t="s">
        <v>14</v>
      </c>
      <c r="S15" s="668">
        <f t="shared" si="0"/>
        <v>100</v>
      </c>
      <c r="T15" s="667" t="s">
        <v>14</v>
      </c>
      <c r="U15" s="668">
        <f t="shared" si="1"/>
        <v>100</v>
      </c>
      <c r="V15" s="667" t="s">
        <v>14</v>
      </c>
      <c r="W15" s="668">
        <f t="shared" si="2"/>
        <v>100</v>
      </c>
      <c r="X15" s="1264"/>
      <c r="Y15" s="3364"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1"/>
      <c r="M16" s="2486"/>
      <c r="N16" s="2486"/>
      <c r="O16" s="2541"/>
      <c r="P16" s="3365"/>
      <c r="Q16" s="1262"/>
      <c r="R16" s="667"/>
      <c r="S16" s="668"/>
      <c r="T16" s="667"/>
      <c r="U16" s="668"/>
      <c r="V16" s="667"/>
      <c r="W16" s="668"/>
      <c r="X16" s="1264"/>
      <c r="Y16" s="3365"/>
      <c r="Z16" s="1263"/>
      <c r="AA16" s="1263">
        <v>1</v>
      </c>
      <c r="AB16" s="1263">
        <v>1</v>
      </c>
      <c r="AC16" s="1263">
        <v>1</v>
      </c>
    </row>
    <row r="17" spans="1:29" ht="15">
      <c r="A17" s="367"/>
      <c r="B17" s="390" t="s">
        <v>1777</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65"/>
      <c r="Q17" s="1262" t="str">
        <f>B17</f>
        <v>商业繁华度</v>
      </c>
      <c r="R17" s="667" t="s">
        <v>14</v>
      </c>
      <c r="S17" s="668">
        <f>F17</f>
        <v>100</v>
      </c>
      <c r="T17" s="667" t="s">
        <v>14</v>
      </c>
      <c r="U17" s="668">
        <f>H17</f>
        <v>100</v>
      </c>
      <c r="V17" s="667" t="s">
        <v>14</v>
      </c>
      <c r="W17" s="668">
        <f>J17</f>
        <v>100</v>
      </c>
      <c r="X17" s="1264"/>
      <c r="Y17" s="3365"/>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1"/>
      <c r="M18" s="2486"/>
      <c r="N18" s="2486"/>
      <c r="O18" s="2541"/>
      <c r="P18" s="3365"/>
      <c r="Q18" s="1262"/>
      <c r="R18" s="667"/>
      <c r="S18" s="668"/>
      <c r="T18" s="667"/>
      <c r="U18" s="668"/>
      <c r="V18" s="667"/>
      <c r="W18" s="668"/>
      <c r="X18" s="1264"/>
      <c r="Y18" s="3365"/>
      <c r="Z18" s="1263"/>
      <c r="AA18" s="1263">
        <v>1</v>
      </c>
      <c r="AB18" s="1263">
        <v>1</v>
      </c>
      <c r="AC18" s="1263">
        <v>1</v>
      </c>
    </row>
    <row r="19" spans="1:29" ht="85.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65"/>
      <c r="Q19" s="1262" t="str">
        <f>B19</f>
        <v>办公集聚程度</v>
      </c>
      <c r="R19" s="667" t="s">
        <v>14</v>
      </c>
      <c r="S19" s="668">
        <f>F19</f>
        <v>100</v>
      </c>
      <c r="T19" s="667" t="s">
        <v>14</v>
      </c>
      <c r="U19" s="668">
        <f>H19</f>
        <v>100</v>
      </c>
      <c r="V19" s="667" t="s">
        <v>14</v>
      </c>
      <c r="W19" s="668">
        <f>J19</f>
        <v>100</v>
      </c>
      <c r="X19" s="1264"/>
      <c r="Y19" s="3365"/>
      <c r="Z19" s="1263" t="str">
        <f>Q19</f>
        <v>办公集聚程度</v>
      </c>
      <c r="AA19" s="1263">
        <f t="shared" si="3"/>
        <v>1</v>
      </c>
      <c r="AB19" s="1263">
        <f t="shared" si="4"/>
        <v>1</v>
      </c>
      <c r="AC19" s="1263">
        <f t="shared" si="5"/>
        <v>1</v>
      </c>
    </row>
    <row r="20" spans="1:29" ht="15">
      <c r="A20" s="367"/>
      <c r="B20" s="395"/>
      <c r="C20" s="386" t="s">
        <v>3409</v>
      </c>
      <c r="D20" s="387"/>
      <c r="E20" s="386" t="s">
        <v>3408</v>
      </c>
      <c r="F20" s="387"/>
      <c r="G20" s="386" t="s">
        <v>3408</v>
      </c>
      <c r="H20" s="387"/>
      <c r="I20" s="386" t="s">
        <v>3408</v>
      </c>
      <c r="J20" s="387"/>
      <c r="K20" s="592"/>
      <c r="L20" s="2491"/>
      <c r="M20" s="2486"/>
      <c r="N20" s="2486"/>
      <c r="O20" s="2541"/>
      <c r="P20" s="3365"/>
      <c r="Q20" s="1262"/>
      <c r="R20" s="667"/>
      <c r="S20" s="668"/>
      <c r="T20" s="667"/>
      <c r="U20" s="668"/>
      <c r="V20" s="667"/>
      <c r="W20" s="668"/>
      <c r="X20" s="1264"/>
      <c r="Y20" s="3365"/>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65"/>
      <c r="Q21" s="1262" t="str">
        <f>B21</f>
        <v>交通便捷度</v>
      </c>
      <c r="R21" s="667" t="s">
        <v>14</v>
      </c>
      <c r="S21" s="668">
        <f>F21</f>
        <v>100</v>
      </c>
      <c r="T21" s="667" t="s">
        <v>14</v>
      </c>
      <c r="U21" s="668">
        <f>H21</f>
        <v>100</v>
      </c>
      <c r="V21" s="667" t="s">
        <v>14</v>
      </c>
      <c r="W21" s="668">
        <f>J21</f>
        <v>100</v>
      </c>
      <c r="X21" s="1264"/>
      <c r="Y21" s="3365"/>
      <c r="Z21" s="1263" t="str">
        <f>Q21</f>
        <v>交通便捷度</v>
      </c>
      <c r="AA21" s="1263">
        <f t="shared" si="3"/>
        <v>1</v>
      </c>
      <c r="AB21" s="1263">
        <f t="shared" si="4"/>
        <v>1</v>
      </c>
      <c r="AC21" s="1263">
        <f t="shared" si="5"/>
        <v>1</v>
      </c>
    </row>
    <row r="22" spans="1:29" ht="15">
      <c r="A22" s="367"/>
      <c r="B22" s="586"/>
      <c r="C22" s="386" t="s">
        <v>3414</v>
      </c>
      <c r="D22" s="389"/>
      <c r="E22" s="1751" t="s">
        <v>3408</v>
      </c>
      <c r="F22" s="387"/>
      <c r="G22" s="1751" t="s">
        <v>3409</v>
      </c>
      <c r="H22" s="387"/>
      <c r="I22" s="1751" t="s">
        <v>3408</v>
      </c>
      <c r="J22" s="387"/>
      <c r="K22" s="592"/>
      <c r="L22" s="2491"/>
      <c r="M22" s="2486"/>
      <c r="N22" s="2486"/>
      <c r="O22" s="2541"/>
      <c r="P22" s="3365"/>
      <c r="Q22" s="1262"/>
      <c r="R22" s="667"/>
      <c r="S22" s="668"/>
      <c r="T22" s="667"/>
      <c r="U22" s="668"/>
      <c r="V22" s="667"/>
      <c r="W22" s="668"/>
      <c r="X22" s="1264"/>
      <c r="Y22" s="3365"/>
      <c r="Z22" s="1263"/>
      <c r="AA22" s="1263">
        <v>1</v>
      </c>
      <c r="AB22" s="1263">
        <v>1</v>
      </c>
      <c r="AC22" s="1263">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65"/>
      <c r="Q23" s="1262" t="str">
        <f t="shared" ref="Q23:Q37" si="8">B23</f>
        <v>区域土地利用方向</v>
      </c>
      <c r="R23" s="667" t="s">
        <v>14</v>
      </c>
      <c r="S23" s="668">
        <f>F23</f>
        <v>100</v>
      </c>
      <c r="T23" s="667" t="s">
        <v>14</v>
      </c>
      <c r="U23" s="668">
        <f>H23</f>
        <v>100</v>
      </c>
      <c r="V23" s="667" t="s">
        <v>14</v>
      </c>
      <c r="W23" s="668">
        <f>J23</f>
        <v>100</v>
      </c>
      <c r="X23" s="1264"/>
      <c r="Y23" s="3365"/>
      <c r="Z23" s="1263" t="str">
        <f>Q23</f>
        <v>区域土地利用方向</v>
      </c>
      <c r="AA23" s="1263">
        <f t="shared" si="3"/>
        <v>1</v>
      </c>
      <c r="AB23" s="1263">
        <f t="shared" si="4"/>
        <v>1</v>
      </c>
      <c r="AC23" s="1263">
        <f t="shared" si="5"/>
        <v>1</v>
      </c>
    </row>
    <row r="24" spans="1:29" ht="15">
      <c r="A24" s="348"/>
      <c r="B24" s="395"/>
      <c r="C24" s="542" t="s">
        <v>3408</v>
      </c>
      <c r="D24" s="387"/>
      <c r="E24" s="542" t="s">
        <v>3408</v>
      </c>
      <c r="F24" s="387"/>
      <c r="G24" s="542" t="s">
        <v>3408</v>
      </c>
      <c r="H24" s="387"/>
      <c r="I24" s="542" t="s">
        <v>3408</v>
      </c>
      <c r="J24" s="387"/>
      <c r="K24" s="698"/>
      <c r="L24" s="2491"/>
      <c r="M24" s="2486"/>
      <c r="N24" s="2486"/>
      <c r="O24" s="2541"/>
      <c r="P24" s="3365"/>
      <c r="Q24" s="1262"/>
      <c r="R24" s="667"/>
      <c r="S24" s="668"/>
      <c r="T24" s="667"/>
      <c r="U24" s="668"/>
      <c r="V24" s="667"/>
      <c r="W24" s="668"/>
      <c r="X24" s="1264"/>
      <c r="Y24" s="3365"/>
      <c r="Z24" s="1263"/>
      <c r="AA24" s="1263"/>
      <c r="AB24" s="1263"/>
      <c r="AC24" s="1263"/>
    </row>
    <row r="25" spans="1:29" ht="57">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65"/>
      <c r="Q25" s="1262" t="str">
        <f t="shared" si="8"/>
        <v>自然及人文环境状况</v>
      </c>
      <c r="R25" s="667" t="s">
        <v>14</v>
      </c>
      <c r="S25" s="668">
        <f>F25</f>
        <v>100</v>
      </c>
      <c r="T25" s="667" t="s">
        <v>14</v>
      </c>
      <c r="U25" s="668">
        <f>H25</f>
        <v>100</v>
      </c>
      <c r="V25" s="667" t="s">
        <v>14</v>
      </c>
      <c r="W25" s="668">
        <f>J25</f>
        <v>100</v>
      </c>
      <c r="X25" s="1264"/>
      <c r="Y25" s="3365"/>
      <c r="Z25" s="1263" t="str">
        <f>Q25</f>
        <v>自然及人文环境状况</v>
      </c>
      <c r="AA25" s="1263">
        <f t="shared" si="3"/>
        <v>1</v>
      </c>
      <c r="AB25" s="1263">
        <f t="shared" si="4"/>
        <v>1</v>
      </c>
      <c r="AC25" s="1263">
        <f t="shared" si="5"/>
        <v>1</v>
      </c>
    </row>
    <row r="26" spans="1:29" ht="15">
      <c r="A26" s="348"/>
      <c r="B26" s="395"/>
      <c r="C26" s="386" t="s">
        <v>3408</v>
      </c>
      <c r="D26" s="387"/>
      <c r="E26" s="386" t="s">
        <v>3409</v>
      </c>
      <c r="F26" s="387"/>
      <c r="G26" s="386" t="s">
        <v>3409</v>
      </c>
      <c r="H26" s="387"/>
      <c r="I26" s="386" t="s">
        <v>3409</v>
      </c>
      <c r="J26" s="387"/>
      <c r="K26" s="592"/>
      <c r="L26" s="2491"/>
      <c r="M26" s="2486"/>
      <c r="N26" s="2486"/>
      <c r="O26" s="2541"/>
      <c r="P26" s="3365"/>
      <c r="Q26" s="1262"/>
      <c r="R26" s="667"/>
      <c r="S26" s="668"/>
      <c r="T26" s="667"/>
      <c r="U26" s="668"/>
      <c r="V26" s="667"/>
      <c r="W26" s="668"/>
      <c r="X26" s="1264"/>
      <c r="Y26" s="3365"/>
      <c r="Z26" s="1263"/>
      <c r="AA26" s="1263">
        <v>1</v>
      </c>
      <c r="AB26" s="1263">
        <v>1</v>
      </c>
      <c r="AC26" s="1263">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65"/>
      <c r="Q27" s="530" t="str">
        <f t="shared" si="8"/>
        <v>公共配套设施</v>
      </c>
      <c r="R27" s="664" t="s">
        <v>14</v>
      </c>
      <c r="S27" s="665">
        <f>F27</f>
        <v>100</v>
      </c>
      <c r="T27" s="664" t="s">
        <v>14</v>
      </c>
      <c r="U27" s="665">
        <f>H27</f>
        <v>100</v>
      </c>
      <c r="V27" s="664" t="s">
        <v>14</v>
      </c>
      <c r="W27" s="665">
        <f>J27</f>
        <v>100</v>
      </c>
      <c r="X27" s="666"/>
      <c r="Y27" s="3365"/>
      <c r="Z27" s="50" t="str">
        <f>Q27</f>
        <v>公共配套设施</v>
      </c>
      <c r="AA27" s="1263">
        <f>D27/F27</f>
        <v>1</v>
      </c>
      <c r="AB27" s="1263">
        <f>D27/H27</f>
        <v>1</v>
      </c>
      <c r="AC27" s="1263">
        <f>D27/J27</f>
        <v>1</v>
      </c>
    </row>
    <row r="28" spans="1:29" s="102" customFormat="1" ht="15">
      <c r="A28" s="443"/>
      <c r="B28" s="395"/>
      <c r="C28" s="1825" t="s">
        <v>3408</v>
      </c>
      <c r="D28" s="387"/>
      <c r="E28" s="386" t="s">
        <v>3409</v>
      </c>
      <c r="F28" s="387"/>
      <c r="G28" s="386" t="s">
        <v>3409</v>
      </c>
      <c r="H28" s="387"/>
      <c r="I28" s="386" t="s">
        <v>3409</v>
      </c>
      <c r="J28" s="387"/>
      <c r="K28" s="592"/>
      <c r="L28" s="2487"/>
      <c r="M28" s="2439"/>
      <c r="N28" s="2439"/>
      <c r="O28" s="2539"/>
      <c r="P28" s="3365"/>
      <c r="Q28" s="530"/>
      <c r="R28" s="664"/>
      <c r="S28" s="665"/>
      <c r="T28" s="664"/>
      <c r="U28" s="665"/>
      <c r="V28" s="664"/>
      <c r="W28" s="665"/>
      <c r="X28" s="666"/>
      <c r="Y28" s="3365"/>
      <c r="Z28" s="50"/>
      <c r="AA28" s="1263">
        <v>1</v>
      </c>
      <c r="AB28" s="1263">
        <v>1</v>
      </c>
      <c r="AC28" s="1263">
        <v>1</v>
      </c>
    </row>
    <row r="29" spans="1:29" s="102" customFormat="1" ht="42.7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v>1</v>
      </c>
      <c r="L29" s="2487"/>
      <c r="M29" s="2439"/>
      <c r="N29" s="2439"/>
      <c r="O29" s="2539"/>
      <c r="P29" s="3365"/>
      <c r="Q29" s="530" t="str">
        <f t="shared" ref="Q29" si="9">B29</f>
        <v>基础设施水平</v>
      </c>
      <c r="R29" s="664" t="s">
        <v>14</v>
      </c>
      <c r="S29" s="665">
        <f>F29</f>
        <v>100</v>
      </c>
      <c r="T29" s="664" t="s">
        <v>14</v>
      </c>
      <c r="U29" s="665">
        <f>H29</f>
        <v>100</v>
      </c>
      <c r="V29" s="664" t="s">
        <v>14</v>
      </c>
      <c r="W29" s="665">
        <f>J29</f>
        <v>100</v>
      </c>
      <c r="X29" s="666"/>
      <c r="Y29" s="3365"/>
      <c r="Z29" s="50" t="str">
        <f>Q29</f>
        <v>基础设施水平</v>
      </c>
      <c r="AA29" s="1263">
        <f>D29/F29</f>
        <v>1</v>
      </c>
      <c r="AB29" s="1263">
        <f>D29/H29</f>
        <v>1</v>
      </c>
      <c r="AC29" s="1263">
        <f>D29/J29</f>
        <v>1</v>
      </c>
    </row>
    <row r="30" spans="1:29" s="102" customFormat="1" ht="15">
      <c r="A30" s="443"/>
      <c r="B30" s="395"/>
      <c r="C30" s="1825" t="s">
        <v>3420</v>
      </c>
      <c r="D30" s="387"/>
      <c r="E30" s="1825" t="s">
        <v>3420</v>
      </c>
      <c r="F30" s="387"/>
      <c r="G30" s="1825" t="s">
        <v>3420</v>
      </c>
      <c r="H30" s="387"/>
      <c r="I30" s="1825" t="s">
        <v>3420</v>
      </c>
      <c r="J30" s="387"/>
      <c r="K30" s="592"/>
      <c r="L30" s="2487"/>
      <c r="M30" s="2439"/>
      <c r="N30" s="2439"/>
      <c r="O30" s="2539"/>
      <c r="P30" s="3365"/>
      <c r="Q30" s="530"/>
      <c r="R30" s="664"/>
      <c r="S30" s="665"/>
      <c r="T30" s="664"/>
      <c r="U30" s="665"/>
      <c r="V30" s="664"/>
      <c r="W30" s="665"/>
      <c r="X30" s="666"/>
      <c r="Y30" s="3365"/>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65"/>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365"/>
      <c r="Z31" s="1263" t="str">
        <f t="shared" ref="Z31:Z45" si="13">Q31</f>
        <v>临街状况</v>
      </c>
      <c r="AA31" s="1263">
        <f t="shared" si="3"/>
        <v>1</v>
      </c>
      <c r="AB31" s="1263">
        <f t="shared" si="4"/>
        <v>1</v>
      </c>
      <c r="AC31" s="1263">
        <f t="shared" si="5"/>
        <v>1</v>
      </c>
    </row>
    <row r="32" spans="1:29" ht="28.5">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65"/>
      <c r="Q32" s="1262" t="str">
        <f t="shared" si="8"/>
        <v>毗邻道路的类型与等级</v>
      </c>
      <c r="R32" s="667" t="s">
        <v>14</v>
      </c>
      <c r="S32" s="668">
        <f t="shared" si="10"/>
        <v>100</v>
      </c>
      <c r="T32" s="667" t="s">
        <v>14</v>
      </c>
      <c r="U32" s="668">
        <f t="shared" si="11"/>
        <v>100</v>
      </c>
      <c r="V32" s="667" t="s">
        <v>14</v>
      </c>
      <c r="W32" s="668">
        <f t="shared" si="12"/>
        <v>100</v>
      </c>
      <c r="X32" s="1264"/>
      <c r="Y32" s="3365"/>
      <c r="Z32" s="1263" t="str">
        <f t="shared" si="13"/>
        <v>毗邻道路的类型与等级</v>
      </c>
      <c r="AA32" s="1263">
        <f t="shared" si="3"/>
        <v>1</v>
      </c>
      <c r="AB32" s="1263">
        <f t="shared" si="4"/>
        <v>1</v>
      </c>
      <c r="AC32" s="1263">
        <f t="shared" si="5"/>
        <v>1</v>
      </c>
    </row>
    <row r="33" spans="1:29" ht="15">
      <c r="A33" s="367"/>
      <c r="B33" s="395"/>
      <c r="C33" s="386" t="s">
        <v>3422</v>
      </c>
      <c r="D33" s="387"/>
      <c r="E33" s="1757" t="s">
        <v>3422</v>
      </c>
      <c r="F33" s="387"/>
      <c r="G33" s="1757" t="s">
        <v>3425</v>
      </c>
      <c r="H33" s="387"/>
      <c r="I33" s="1757" t="s">
        <v>3422</v>
      </c>
      <c r="J33" s="387"/>
      <c r="K33" s="539"/>
      <c r="L33" s="2491"/>
      <c r="M33" s="2486"/>
      <c r="N33" s="2486"/>
      <c r="O33" s="2541"/>
      <c r="P33" s="3365"/>
      <c r="Q33" s="1262"/>
      <c r="R33" s="667"/>
      <c r="S33" s="668"/>
      <c r="T33" s="667"/>
      <c r="U33" s="668"/>
      <c r="V33" s="667"/>
      <c r="W33" s="668"/>
      <c r="X33" s="1264"/>
      <c r="Y33" s="3365"/>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65"/>
      <c r="Q34" s="1262" t="str">
        <f t="shared" si="8"/>
        <v>土地级别</v>
      </c>
      <c r="R34" s="667" t="s">
        <v>14</v>
      </c>
      <c r="S34" s="668">
        <f t="shared" si="10"/>
        <v>100</v>
      </c>
      <c r="T34" s="667" t="s">
        <v>14</v>
      </c>
      <c r="U34" s="668">
        <f t="shared" si="11"/>
        <v>100</v>
      </c>
      <c r="V34" s="667" t="s">
        <v>14</v>
      </c>
      <c r="W34" s="668">
        <f t="shared" si="12"/>
        <v>100</v>
      </c>
      <c r="X34" s="1264"/>
      <c r="Y34" s="3365"/>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65"/>
      <c r="Q35" s="1262">
        <f t="shared" si="8"/>
        <v>111</v>
      </c>
      <c r="R35" s="667" t="s">
        <v>14</v>
      </c>
      <c r="S35" s="668">
        <f t="shared" si="10"/>
        <v>100</v>
      </c>
      <c r="T35" s="667" t="s">
        <v>14</v>
      </c>
      <c r="U35" s="668">
        <f t="shared" si="11"/>
        <v>100</v>
      </c>
      <c r="V35" s="667" t="s">
        <v>14</v>
      </c>
      <c r="W35" s="668">
        <f t="shared" si="12"/>
        <v>100</v>
      </c>
      <c r="X35" s="1264"/>
      <c r="Y35" s="3365"/>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366" t="s">
        <v>1696</v>
      </c>
      <c r="Q36" s="1262">
        <f t="shared" si="8"/>
        <v>111</v>
      </c>
      <c r="R36" s="667" t="s">
        <v>14</v>
      </c>
      <c r="S36" s="668">
        <f t="shared" si="10"/>
        <v>100</v>
      </c>
      <c r="T36" s="667" t="s">
        <v>14</v>
      </c>
      <c r="U36" s="668">
        <f t="shared" si="11"/>
        <v>100</v>
      </c>
      <c r="V36" s="667" t="s">
        <v>14</v>
      </c>
      <c r="W36" s="668">
        <f t="shared" si="12"/>
        <v>100</v>
      </c>
      <c r="X36" s="1264"/>
      <c r="Y36" s="3367" t="s">
        <v>1696</v>
      </c>
      <c r="Z36" s="1263">
        <f t="shared" si="13"/>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67"/>
      <c r="Q37" s="1262">
        <f t="shared" si="8"/>
        <v>111</v>
      </c>
      <c r="R37" s="669" t="s">
        <v>14</v>
      </c>
      <c r="S37" s="670">
        <f t="shared" si="10"/>
        <v>100</v>
      </c>
      <c r="T37" s="669" t="s">
        <v>14</v>
      </c>
      <c r="U37" s="670">
        <f t="shared" si="11"/>
        <v>100</v>
      </c>
      <c r="V37" s="669" t="s">
        <v>14</v>
      </c>
      <c r="W37" s="670">
        <f t="shared" si="12"/>
        <v>100</v>
      </c>
      <c r="X37" s="671"/>
      <c r="Y37" s="3367"/>
      <c r="Z37" s="672">
        <f t="shared" si="13"/>
        <v>111</v>
      </c>
      <c r="AA37" s="1263">
        <f t="shared" si="3"/>
        <v>1</v>
      </c>
      <c r="AB37" s="1263">
        <f t="shared" si="4"/>
        <v>1</v>
      </c>
      <c r="AC37" s="1263">
        <f t="shared" si="5"/>
        <v>1</v>
      </c>
    </row>
    <row r="38" spans="1:29" ht="15">
      <c r="A38" s="409" t="s">
        <v>1694</v>
      </c>
      <c r="B38" s="395" t="s">
        <v>1874</v>
      </c>
      <c r="C38" s="599"/>
      <c r="D38" s="405">
        <v>100</v>
      </c>
      <c r="E38" s="599">
        <f>土地案例!I2</f>
        <v>16035</v>
      </c>
      <c r="F38" s="405">
        <f>LOOKUP(E38,116:116,117:117)-LOOKUP(C38,116:116,117:117)+100</f>
        <v>101</v>
      </c>
      <c r="G38" s="599">
        <f>土地案例!I3</f>
        <v>15169</v>
      </c>
      <c r="H38" s="405">
        <f>LOOKUP(G38,116:116,117:117)-LOOKUP(C38,116:116,117:117)+100</f>
        <v>101</v>
      </c>
      <c r="I38" s="462">
        <f>土地案例!I4</f>
        <v>36408</v>
      </c>
      <c r="J38" s="405">
        <f>LOOKUP(I38,116:116,117:117)-LOOKUP(C38,116:116,117:117)+100</f>
        <v>102</v>
      </c>
      <c r="K38" s="539"/>
      <c r="L38" s="2491"/>
      <c r="M38" s="2486"/>
      <c r="N38" s="2486"/>
      <c r="O38" s="2541"/>
      <c r="P38" s="3367"/>
      <c r="Q38" s="1262" t="str">
        <f>B38</f>
        <v>宗地面积</v>
      </c>
      <c r="R38" s="667" t="s">
        <v>14</v>
      </c>
      <c r="S38" s="668">
        <f t="shared" si="10"/>
        <v>101</v>
      </c>
      <c r="T38" s="667" t="s">
        <v>14</v>
      </c>
      <c r="U38" s="668">
        <f t="shared" si="11"/>
        <v>101</v>
      </c>
      <c r="V38" s="667" t="s">
        <v>14</v>
      </c>
      <c r="W38" s="668">
        <f t="shared" si="12"/>
        <v>102</v>
      </c>
      <c r="X38" s="1264"/>
      <c r="Y38" s="3367"/>
      <c r="Z38" s="1263" t="str">
        <f t="shared" si="13"/>
        <v>宗地面积</v>
      </c>
      <c r="AA38" s="1263">
        <f t="shared" si="3"/>
        <v>0.99009900990099009</v>
      </c>
      <c r="AB38" s="1263">
        <f t="shared" si="4"/>
        <v>0.99009900990099009</v>
      </c>
      <c r="AC38" s="1263">
        <f t="shared" si="5"/>
        <v>0.98039215686274506</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1"/>
      <c r="M39" s="2486"/>
      <c r="N39" s="2486"/>
      <c r="O39" s="2541"/>
      <c r="P39" s="3367"/>
      <c r="Q39" s="1262" t="str">
        <f t="shared" ref="Q39:Q45" si="14">B39</f>
        <v>宗地形状</v>
      </c>
      <c r="R39" s="667" t="s">
        <v>14</v>
      </c>
      <c r="S39" s="668">
        <f t="shared" si="10"/>
        <v>100</v>
      </c>
      <c r="T39" s="667" t="s">
        <v>14</v>
      </c>
      <c r="U39" s="668">
        <f t="shared" si="11"/>
        <v>100</v>
      </c>
      <c r="V39" s="667" t="s">
        <v>14</v>
      </c>
      <c r="W39" s="668">
        <f t="shared" si="12"/>
        <v>100</v>
      </c>
      <c r="X39" s="1264"/>
      <c r="Y39" s="3367"/>
      <c r="Z39" s="1263" t="str">
        <f t="shared" si="13"/>
        <v>宗地形状</v>
      </c>
      <c r="AA39" s="1263">
        <f t="shared" si="3"/>
        <v>1</v>
      </c>
      <c r="AB39" s="1263">
        <f t="shared" si="4"/>
        <v>1</v>
      </c>
      <c r="AC39" s="1263">
        <f t="shared" si="5"/>
        <v>1</v>
      </c>
    </row>
    <row r="40" spans="1:29" ht="15">
      <c r="A40" s="409"/>
      <c r="B40" s="364" t="s">
        <v>1876</v>
      </c>
      <c r="C40" s="1759" t="s">
        <v>3408</v>
      </c>
      <c r="D40" s="374">
        <v>100</v>
      </c>
      <c r="E40" s="1759" t="s">
        <v>3408</v>
      </c>
      <c r="F40" s="374">
        <f>SUMIF(120:120,E40,121:121)-SUMIF(120:120,C40,121:121)+100</f>
        <v>100</v>
      </c>
      <c r="G40" s="1759" t="s">
        <v>3408</v>
      </c>
      <c r="H40" s="374">
        <f>SUMIF(120:120,G40,121:121)-SUMIF(120:120,C40,121:121)+100</f>
        <v>100</v>
      </c>
      <c r="I40" s="1759" t="s">
        <v>3408</v>
      </c>
      <c r="J40" s="374">
        <f>SUMIF(120:120,I40,121:121)-SUMIF(120:120,C40,121:121)+100</f>
        <v>100</v>
      </c>
      <c r="K40" s="538">
        <v>2</v>
      </c>
      <c r="L40" s="2491"/>
      <c r="M40" s="2486"/>
      <c r="N40" s="2486"/>
      <c r="O40" s="2541"/>
      <c r="P40" s="3367"/>
      <c r="Q40" s="1262" t="str">
        <f t="shared" si="14"/>
        <v>临街宽度及深度</v>
      </c>
      <c r="R40" s="667" t="s">
        <v>14</v>
      </c>
      <c r="S40" s="668">
        <f t="shared" si="10"/>
        <v>100</v>
      </c>
      <c r="T40" s="667" t="s">
        <v>14</v>
      </c>
      <c r="U40" s="668">
        <f t="shared" si="11"/>
        <v>100</v>
      </c>
      <c r="V40" s="667" t="s">
        <v>14</v>
      </c>
      <c r="W40" s="668">
        <f t="shared" si="12"/>
        <v>100</v>
      </c>
      <c r="X40" s="1264"/>
      <c r="Y40" s="3367"/>
      <c r="Z40" s="1263" t="str">
        <f t="shared" si="13"/>
        <v>临街宽度及深度</v>
      </c>
      <c r="AA40" s="1263">
        <f t="shared" si="3"/>
        <v>1</v>
      </c>
      <c r="AB40" s="1263">
        <f t="shared" si="4"/>
        <v>1</v>
      </c>
      <c r="AC40" s="1263">
        <f t="shared" si="5"/>
        <v>1</v>
      </c>
    </row>
    <row r="41" spans="1:29" s="102" customFormat="1" ht="15">
      <c r="A41" s="410"/>
      <c r="B41" s="364" t="s">
        <v>1877</v>
      </c>
      <c r="C41" s="1827" t="s">
        <v>3428</v>
      </c>
      <c r="D41" s="119">
        <v>100</v>
      </c>
      <c r="E41" s="1827" t="s">
        <v>3430</v>
      </c>
      <c r="F41" s="374">
        <f>SUMIF(122:122,E41,123:123)-SUMIF(122:122,C41,123:123)+100</f>
        <v>99</v>
      </c>
      <c r="G41" s="1827" t="s">
        <v>3430</v>
      </c>
      <c r="H41" s="374">
        <f>SUMIF(122:122,G41,123:123)-SUMIF(122:122,C41,123:123)+100</f>
        <v>99</v>
      </c>
      <c r="I41" s="1827" t="s">
        <v>3430</v>
      </c>
      <c r="J41" s="374">
        <f>SUMIF(122:122,I41,123:123)-SUMIF(122:122,C41,123:123)+100</f>
        <v>99</v>
      </c>
      <c r="K41" s="538">
        <v>0.5</v>
      </c>
      <c r="L41" s="2487"/>
      <c r="M41" s="2439"/>
      <c r="N41" s="2439"/>
      <c r="O41" s="2539"/>
      <c r="P41" s="3367"/>
      <c r="Q41" s="1262" t="str">
        <f t="shared" si="14"/>
        <v>宗地开发程度</v>
      </c>
      <c r="R41" s="664" t="s">
        <v>14</v>
      </c>
      <c r="S41" s="665">
        <f t="shared" si="10"/>
        <v>99</v>
      </c>
      <c r="T41" s="664" t="s">
        <v>14</v>
      </c>
      <c r="U41" s="665">
        <f t="shared" si="11"/>
        <v>99</v>
      </c>
      <c r="V41" s="664" t="s">
        <v>14</v>
      </c>
      <c r="W41" s="665">
        <f t="shared" si="12"/>
        <v>99</v>
      </c>
      <c r="X41" s="666"/>
      <c r="Y41" s="3367"/>
      <c r="Z41" s="50" t="str">
        <f t="shared" si="13"/>
        <v>宗地开发程度</v>
      </c>
      <c r="AA41" s="50">
        <f t="shared" si="3"/>
        <v>1.0101010101010102</v>
      </c>
      <c r="AB41" s="50">
        <f t="shared" si="4"/>
        <v>1.0101010101010102</v>
      </c>
      <c r="AC41" s="50">
        <f t="shared" si="5"/>
        <v>1.0101010101010102</v>
      </c>
    </row>
    <row r="42" spans="1:29" ht="15">
      <c r="A42" s="409"/>
      <c r="B42" s="364" t="s">
        <v>1878</v>
      </c>
      <c r="C42" s="1759" t="s">
        <v>3408</v>
      </c>
      <c r="D42" s="374">
        <v>100</v>
      </c>
      <c r="E42" s="1759" t="s">
        <v>3408</v>
      </c>
      <c r="F42" s="374">
        <f>SUMIF(124:124,E42,125:125)-SUMIF(124:124,C42,125:125)+100</f>
        <v>100</v>
      </c>
      <c r="G42" s="1759" t="s">
        <v>3408</v>
      </c>
      <c r="H42" s="374">
        <f>SUMIF(124:124,G42,125:125)-SUMIF(124:124,C42,125:125)+100</f>
        <v>100</v>
      </c>
      <c r="I42" s="1759" t="s">
        <v>3408</v>
      </c>
      <c r="J42" s="374">
        <f>SUMIF(124:124,I42,125:125)-SUMIF(124:124,C42,125:125)+100</f>
        <v>100</v>
      </c>
      <c r="K42" s="538">
        <v>2</v>
      </c>
      <c r="L42" s="2491"/>
      <c r="M42" s="2486"/>
      <c r="N42" s="2486"/>
      <c r="O42" s="2541"/>
      <c r="P42" s="3367" t="s">
        <v>1696</v>
      </c>
      <c r="Q42" s="1262" t="str">
        <f t="shared" si="14"/>
        <v>工程地质条件</v>
      </c>
      <c r="R42" s="667" t="s">
        <v>14</v>
      </c>
      <c r="S42" s="668">
        <f t="shared" si="10"/>
        <v>100</v>
      </c>
      <c r="T42" s="667" t="s">
        <v>14</v>
      </c>
      <c r="U42" s="668">
        <f t="shared" si="11"/>
        <v>100</v>
      </c>
      <c r="V42" s="667" t="s">
        <v>14</v>
      </c>
      <c r="W42" s="668">
        <f t="shared" si="12"/>
        <v>100</v>
      </c>
      <c r="X42" s="1264"/>
      <c r="Y42" s="3367"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67"/>
      <c r="Q43" s="1262">
        <f t="shared" si="14"/>
        <v>111</v>
      </c>
      <c r="R43" s="667" t="s">
        <v>14</v>
      </c>
      <c r="S43" s="668">
        <f t="shared" si="10"/>
        <v>100</v>
      </c>
      <c r="T43" s="667" t="s">
        <v>14</v>
      </c>
      <c r="U43" s="668">
        <f t="shared" si="11"/>
        <v>100</v>
      </c>
      <c r="V43" s="667" t="s">
        <v>14</v>
      </c>
      <c r="W43" s="668">
        <f t="shared" si="12"/>
        <v>100</v>
      </c>
      <c r="X43" s="1264"/>
      <c r="Y43" s="3367"/>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67"/>
      <c r="Q44" s="1262">
        <f t="shared" si="14"/>
        <v>111</v>
      </c>
      <c r="R44" s="667" t="s">
        <v>14</v>
      </c>
      <c r="S44" s="668">
        <f t="shared" si="10"/>
        <v>100</v>
      </c>
      <c r="T44" s="667" t="s">
        <v>14</v>
      </c>
      <c r="U44" s="668">
        <f t="shared" si="11"/>
        <v>100</v>
      </c>
      <c r="V44" s="667" t="s">
        <v>14</v>
      </c>
      <c r="W44" s="668">
        <f t="shared" si="12"/>
        <v>100</v>
      </c>
      <c r="X44" s="1264"/>
      <c r="Y44" s="3367"/>
      <c r="Z44" s="1263">
        <f t="shared" si="13"/>
        <v>111</v>
      </c>
      <c r="AA44" s="1263">
        <f t="shared" si="3"/>
        <v>1</v>
      </c>
      <c r="AB44" s="1263">
        <f t="shared" si="4"/>
        <v>1</v>
      </c>
      <c r="AC44" s="1263">
        <f t="shared" si="5"/>
        <v>1</v>
      </c>
    </row>
    <row r="45" spans="1:29" s="408" customFormat="1" ht="15.75"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67"/>
      <c r="Q45" s="1262">
        <f t="shared" si="14"/>
        <v>111</v>
      </c>
      <c r="R45" s="669" t="s">
        <v>14</v>
      </c>
      <c r="S45" s="670">
        <f t="shared" si="10"/>
        <v>100</v>
      </c>
      <c r="T45" s="669" t="s">
        <v>14</v>
      </c>
      <c r="U45" s="670">
        <f t="shared" si="11"/>
        <v>100</v>
      </c>
      <c r="V45" s="669" t="s">
        <v>14</v>
      </c>
      <c r="W45" s="670">
        <f t="shared" si="12"/>
        <v>100</v>
      </c>
      <c r="X45" s="671"/>
      <c r="Y45" s="3367"/>
      <c r="Z45" s="672">
        <f t="shared" si="13"/>
        <v>111</v>
      </c>
      <c r="AA45" s="1263">
        <f t="shared" si="3"/>
        <v>1</v>
      </c>
      <c r="AB45" s="1263">
        <f t="shared" si="4"/>
        <v>1</v>
      </c>
      <c r="AC45" s="1263">
        <f t="shared" si="5"/>
        <v>1</v>
      </c>
    </row>
    <row r="46" spans="1:29" ht="15">
      <c r="A46" s="416" t="s">
        <v>1844</v>
      </c>
      <c r="B46" s="1829" t="s">
        <v>1879</v>
      </c>
      <c r="C46" s="602" t="s">
        <v>0</v>
      </c>
      <c r="D46" s="418"/>
      <c r="E46" s="419">
        <f>土地案例!AW2</f>
        <v>3000</v>
      </c>
      <c r="F46" s="420"/>
      <c r="G46" s="421">
        <f>土地案例!AW3</f>
        <v>2960</v>
      </c>
      <c r="H46" s="422"/>
      <c r="I46" s="419">
        <f>土地案例!AW4</f>
        <v>2910</v>
      </c>
      <c r="J46" s="422"/>
      <c r="K46" s="674"/>
      <c r="L46" s="2493"/>
      <c r="M46" s="2486"/>
      <c r="N46" s="2486"/>
      <c r="O46" s="2486"/>
      <c r="P46" s="3349" t="str">
        <f>A46</f>
        <v>成交单价</v>
      </c>
      <c r="Q46" s="3349"/>
      <c r="R46" s="3362">
        <f>E46</f>
        <v>3000</v>
      </c>
      <c r="S46" s="3362"/>
      <c r="T46" s="3362">
        <f>G46</f>
        <v>2960</v>
      </c>
      <c r="U46" s="3362"/>
      <c r="V46" s="3362">
        <f>I46</f>
        <v>2910</v>
      </c>
      <c r="W46" s="3362"/>
      <c r="X46" s="385"/>
      <c r="Y46" s="673"/>
      <c r="Z46" s="385"/>
      <c r="AA46" s="385"/>
      <c r="AB46" s="385"/>
      <c r="AC46" s="385"/>
    </row>
    <row r="47" spans="1:29" ht="15.75" thickBot="1">
      <c r="A47" s="423" t="s">
        <v>1793</v>
      </c>
      <c r="B47" s="603"/>
      <c r="C47" s="426">
        <f>R48</f>
        <v>2456</v>
      </c>
      <c r="D47" s="2140" t="s">
        <v>2138</v>
      </c>
      <c r="E47" s="426">
        <f>R47</f>
        <v>2500</v>
      </c>
      <c r="F47" s="2141"/>
      <c r="G47" s="425">
        <f>T47</f>
        <v>2467</v>
      </c>
      <c r="H47" s="2141"/>
      <c r="I47" s="426">
        <f>V47</f>
        <v>2401</v>
      </c>
      <c r="J47" s="2141"/>
      <c r="K47" s="2143">
        <f>F47+H47+J47</f>
        <v>0</v>
      </c>
      <c r="L47" s="2493"/>
      <c r="M47" s="2486"/>
      <c r="N47" s="2486"/>
      <c r="O47" s="2486"/>
      <c r="P47" s="3349" t="str">
        <f>A47</f>
        <v>比较价值（元/平方米）</v>
      </c>
      <c r="Q47" s="3349"/>
      <c r="R47" s="3368">
        <f>ROUND(PRODUCT(R46,AA7:AA45),0)</f>
        <v>2500</v>
      </c>
      <c r="S47" s="3368"/>
      <c r="T47" s="3368">
        <f>ROUND(PRODUCT(T46,AB7:AB45),0)</f>
        <v>2467</v>
      </c>
      <c r="U47" s="3368"/>
      <c r="V47" s="3368">
        <f>ROUND(PRODUCT(V46,AC7:AC45),0)</f>
        <v>2401</v>
      </c>
      <c r="W47" s="3368"/>
      <c r="X47" s="385"/>
      <c r="Y47" s="385"/>
      <c r="Z47" s="385"/>
      <c r="AA47" s="385"/>
      <c r="AB47" s="385"/>
      <c r="AC47" s="385"/>
    </row>
    <row r="48" spans="1:29" ht="15.75" thickBot="1">
      <c r="A48" s="427" t="s">
        <v>1880</v>
      </c>
      <c r="B48" s="428"/>
      <c r="C48" s="429">
        <f>R48</f>
        <v>2456</v>
      </c>
      <c r="D48" s="429"/>
      <c r="E48" s="429"/>
      <c r="F48" s="429"/>
      <c r="G48" s="429"/>
      <c r="H48" s="429"/>
      <c r="I48" s="429"/>
      <c r="J48" s="429"/>
      <c r="K48" s="675"/>
      <c r="L48" s="2493"/>
      <c r="M48" s="2486"/>
      <c r="N48" s="2486"/>
      <c r="O48" s="2486"/>
      <c r="P48" s="3369" t="str">
        <f>A48</f>
        <v>估价对象XX用房的比较价值（楼面单价，元/平方米）</v>
      </c>
      <c r="Q48" s="3370"/>
      <c r="R48" s="3371">
        <f>ROUND(IF(D47="简单平均",AVERAGE(R47:W47),R47*F47+T47*H47+V47*J47),0)</f>
        <v>2456</v>
      </c>
      <c r="S48" s="3371"/>
      <c r="T48" s="3371"/>
      <c r="U48" s="3371"/>
      <c r="V48" s="3371"/>
      <c r="W48" s="3371"/>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f>IF(E46&lt;E47,E47/E46-1,E46/E47-1)</f>
        <v>0.19999999999999996</v>
      </c>
      <c r="F51" s="435" t="str">
        <f>IF(OR(E51&gt;=0.3,E51&lt;=-0.3),"超过30%","")</f>
        <v/>
      </c>
      <c r="G51" s="434">
        <f>IF(G46&lt;G47,G47/G46-1,G46/G47-1)</f>
        <v>0.19983785974868251</v>
      </c>
      <c r="H51" s="435" t="str">
        <f>IF(OR(G51&gt;=0.3,G51&lt;=-0.3),"超过30%","")</f>
        <v/>
      </c>
      <c r="I51" s="434">
        <f>IF(I46&lt;I47,I47/I46-1,I46/I47-1)</f>
        <v>0.21199500208246569</v>
      </c>
      <c r="J51" s="435" t="str">
        <f>IF(OR(I51&gt;=0.3,I51&lt;=-0.3),"超过30%","")</f>
        <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f>IF(E47&lt;G47,G47/E47-1,E47/G47-1)</f>
        <v>1.337657073368459E-2</v>
      </c>
      <c r="F52" s="435" t="str">
        <f>IF(OR(E52&gt;=0.2,E52&lt;=-0.2),"超过20%","")</f>
        <v/>
      </c>
      <c r="G52" s="434">
        <f>IF(G47&lt;I47,I47/G47-1,G47/I47-1)</f>
        <v>2.7488546438983796E-2</v>
      </c>
      <c r="H52" s="435" t="str">
        <f>IF(OR(G52&gt;=0.2,G52&lt;=-0.2),"超过20%","")</f>
        <v/>
      </c>
      <c r="I52" s="434">
        <f>IF(I47&lt;E47,E47/I47-1,I47/E47-1)</f>
        <v>4.1232819658475695E-2</v>
      </c>
      <c r="J52" s="435" t="str">
        <f>IF(OR(I52&gt;=0.2,I52&lt;=-0.2),"超过20%","")</f>
        <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f>IF(E46&lt;G46,G46/E46-1,E46/G46-1)</f>
        <v>1.3513513513513598E-2</v>
      </c>
      <c r="F53" s="435" t="str">
        <f>IF(OR(E53&gt;=0.3,E53&lt;=-0.3),"超过30%","")</f>
        <v/>
      </c>
      <c r="G53" s="434">
        <f>IF(G46&lt;I46,I46/G46-1,G46/I46-1)</f>
        <v>1.7182130584192379E-2</v>
      </c>
      <c r="H53" s="435" t="str">
        <f>IF(OR(G53&gt;=0.3,G53&lt;=-0.3),"超过30%","")</f>
        <v/>
      </c>
      <c r="I53" s="434">
        <f>IF(I46&lt;E46,E46/I46-1,I46/E46-1)</f>
        <v>3.0927835051546282E-2</v>
      </c>
      <c r="J53" s="435" t="str">
        <f>IF(OR(I53&gt;=0.3,I53&lt;=-0.3),"超过30%","")</f>
        <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0" t="s">
        <v>1883</v>
      </c>
      <c r="D55" s="1831" t="s">
        <v>1884</v>
      </c>
      <c r="E55" s="606" t="s">
        <v>1885</v>
      </c>
      <c r="F55" s="837" t="s">
        <v>1886</v>
      </c>
      <c r="G55" s="3350" t="s">
        <v>1887</v>
      </c>
      <c r="H55" s="3372"/>
      <c r="I55" s="127" t="s">
        <v>1888</v>
      </c>
      <c r="J55" s="1832">
        <f>项目基本情况!F35</f>
        <v>0</v>
      </c>
      <c r="K55" s="1833"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f>C48</f>
        <v>2456</v>
      </c>
      <c r="C56" s="610">
        <v>1</v>
      </c>
      <c r="D56" s="890">
        <v>1</v>
      </c>
      <c r="E56" s="610">
        <f>'数据-汇总表'!E8+'数据-汇总表'!E9</f>
        <v>2375.33</v>
      </c>
      <c r="F56" s="833">
        <f t="shared" ref="F56:F64" si="15">ROUND(B56*E56/10000,0)</f>
        <v>583</v>
      </c>
      <c r="G56" s="3373"/>
      <c r="H56" s="3349"/>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f>ROUND($C$48*C57*D57,0)</f>
        <v>0</v>
      </c>
      <c r="C57" s="163">
        <f t="shared" ref="C57:C64" si="16">IF($C$55="北京市系数",I57,J57)</f>
        <v>0</v>
      </c>
      <c r="D57" s="891">
        <v>0.25</v>
      </c>
      <c r="E57" s="614"/>
      <c r="F57" s="833">
        <f t="shared" si="15"/>
        <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f t="shared" ref="B58:B64" si="17">ROUND($C$48*C58*D58,0)</f>
        <v>0</v>
      </c>
      <c r="C58" s="163">
        <f t="shared" si="16"/>
        <v>0</v>
      </c>
      <c r="D58" s="891">
        <v>0.25</v>
      </c>
      <c r="E58" s="614"/>
      <c r="F58" s="833">
        <f t="shared" si="15"/>
        <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f t="shared" si="17"/>
        <v>0</v>
      </c>
      <c r="C59" s="163">
        <f t="shared" si="16"/>
        <v>0</v>
      </c>
      <c r="D59" s="891">
        <v>0.25</v>
      </c>
      <c r="E59" s="614"/>
      <c r="F59" s="833">
        <f t="shared" si="15"/>
        <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f t="shared" si="17"/>
        <v>0</v>
      </c>
      <c r="C60" s="163">
        <f t="shared" si="16"/>
        <v>0</v>
      </c>
      <c r="D60" s="891">
        <v>0.25</v>
      </c>
      <c r="E60" s="209">
        <f>'数据-汇总表'!E11</f>
        <v>0</v>
      </c>
      <c r="F60" s="833">
        <f t="shared" si="15"/>
        <v>0</v>
      </c>
      <c r="G60" s="1834"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f t="shared" si="17"/>
        <v>0</v>
      </c>
      <c r="C61" s="163">
        <f t="shared" si="16"/>
        <v>0</v>
      </c>
      <c r="D61" s="891">
        <v>0.25</v>
      </c>
      <c r="E61" s="209">
        <f>'数据-汇总表'!E12</f>
        <v>0</v>
      </c>
      <c r="F61" s="833">
        <f t="shared" si="15"/>
        <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f t="shared" si="17"/>
        <v>0</v>
      </c>
      <c r="C62" s="163">
        <f t="shared" si="16"/>
        <v>0</v>
      </c>
      <c r="D62" s="891">
        <v>0.25</v>
      </c>
      <c r="E62" s="209">
        <f>'数据-汇总表'!E13</f>
        <v>0</v>
      </c>
      <c r="F62" s="833">
        <f t="shared" si="15"/>
        <v>0</v>
      </c>
      <c r="G62" s="839" t="s">
        <v>3435</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f t="shared" si="17"/>
        <v>0</v>
      </c>
      <c r="C63" s="163">
        <f t="shared" si="16"/>
        <v>0</v>
      </c>
      <c r="D63" s="891">
        <v>0.25</v>
      </c>
      <c r="E63" s="209">
        <f>'数据-汇总表'!E14</f>
        <v>0</v>
      </c>
      <c r="F63" s="833">
        <f t="shared" si="15"/>
        <v>0</v>
      </c>
      <c r="G63" s="1834"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f t="shared" si="17"/>
        <v>0</v>
      </c>
      <c r="C64" s="163">
        <f t="shared" si="16"/>
        <v>0</v>
      </c>
      <c r="D64" s="891">
        <v>0.25</v>
      </c>
      <c r="E64" s="209">
        <f>'数据-汇总表'!E15</f>
        <v>0</v>
      </c>
      <c r="F64" s="833">
        <f t="shared" si="15"/>
        <v>0</v>
      </c>
      <c r="G64" s="1835"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2375.33</v>
      </c>
      <c r="F65" s="617">
        <f>IF(B46="楼面地价",SUM(F56:F64),ROUND(C48*E65/10000,0))</f>
        <v>583</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2024-9-1</v>
      </c>
      <c r="D67" s="656">
        <f>EDATE(C67,-3)</f>
        <v>45444</v>
      </c>
      <c r="E67" s="656">
        <f>EDATE(D67,-3)</f>
        <v>45352</v>
      </c>
      <c r="F67" s="656">
        <f t="shared" ref="F67:O67" si="18">EDATE(E67,-3)</f>
        <v>45261</v>
      </c>
      <c r="G67" s="656">
        <f t="shared" si="18"/>
        <v>45170</v>
      </c>
      <c r="H67" s="656">
        <f t="shared" si="18"/>
        <v>45078</v>
      </c>
      <c r="I67" s="656">
        <f t="shared" si="18"/>
        <v>44986</v>
      </c>
      <c r="J67" s="656">
        <f t="shared" si="18"/>
        <v>44896</v>
      </c>
      <c r="K67" s="656">
        <f t="shared" si="18"/>
        <v>44805</v>
      </c>
      <c r="L67" s="656">
        <f t="shared" si="18"/>
        <v>44713</v>
      </c>
      <c r="M67" s="656">
        <f t="shared" si="18"/>
        <v>44621</v>
      </c>
      <c r="N67" s="656">
        <f t="shared" si="18"/>
        <v>44531</v>
      </c>
      <c r="O67" s="656">
        <f t="shared" si="18"/>
        <v>44440</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29" t="s">
        <v>1904</v>
      </c>
      <c r="B69" s="1046"/>
      <c r="C69" s="1100" t="str">
        <f>YEAR(C67)&amp;"-"&amp;ROUNDUP(MONTH(C67)/3,0)</f>
        <v>2024-3</v>
      </c>
      <c r="D69" s="1100" t="str">
        <f>YEAR(D67)&amp;"-"&amp;ROUNDUP(MONTH(D67)/3,0)</f>
        <v>2024-2</v>
      </c>
      <c r="E69" s="1100" t="str">
        <f t="shared" ref="E69:O69" si="19">YEAR(E67)&amp;"-"&amp;ROUNDUP(MONTH(E67)/3,0)</f>
        <v>2024-1</v>
      </c>
      <c r="F69" s="1100" t="str">
        <f t="shared" si="19"/>
        <v>2023-4</v>
      </c>
      <c r="G69" s="1100" t="str">
        <f t="shared" si="19"/>
        <v>2023-3</v>
      </c>
      <c r="H69" s="1100" t="str">
        <f t="shared" si="19"/>
        <v>2023-2</v>
      </c>
      <c r="I69" s="1100" t="str">
        <f t="shared" si="19"/>
        <v>2023-1</v>
      </c>
      <c r="J69" s="1100" t="str">
        <f t="shared" si="19"/>
        <v>2022-4</v>
      </c>
      <c r="K69" s="1100" t="str">
        <f t="shared" si="19"/>
        <v>2022-3</v>
      </c>
      <c r="L69" s="1100" t="str">
        <f t="shared" si="19"/>
        <v>2022-2</v>
      </c>
      <c r="M69" s="1100" t="str">
        <f t="shared" si="19"/>
        <v>2022-1</v>
      </c>
      <c r="N69" s="1100" t="str">
        <f t="shared" si="19"/>
        <v>2021-4</v>
      </c>
      <c r="O69" s="1100" t="str">
        <f t="shared" si="19"/>
        <v>2021-3</v>
      </c>
      <c r="P69" s="2509"/>
      <c r="Q69" s="2509"/>
      <c r="R69" s="2509"/>
      <c r="S69" s="2509"/>
      <c r="T69" s="2509"/>
      <c r="U69" s="2509"/>
      <c r="V69" s="2509"/>
      <c r="W69" s="2509"/>
      <c r="X69" s="2509"/>
      <c r="Y69" s="2509"/>
      <c r="Z69" s="2509"/>
      <c r="AA69" s="2509"/>
      <c r="AB69" s="2509"/>
      <c r="AC69" s="2509"/>
    </row>
    <row r="70" spans="1:29" s="102" customFormat="1" ht="30" customHeight="1">
      <c r="A70" s="1836" t="s">
        <v>1905</v>
      </c>
      <c r="B70" s="280" t="str">
        <f>"北京市平均增长率"&amp;TEXT(SUMIF(基准地价修正!N25:N29,A70,基准地价修正!P25:P29),"0.00%")</f>
        <v>北京市平均增长率0.00%</v>
      </c>
      <c r="C70" s="530">
        <v>100</v>
      </c>
      <c r="D70" s="6">
        <v>100</v>
      </c>
      <c r="E70" s="6">
        <v>100</v>
      </c>
      <c r="F70" s="6">
        <v>100</v>
      </c>
      <c r="G70" s="6">
        <v>100</v>
      </c>
      <c r="H70" s="6">
        <v>100</v>
      </c>
      <c r="I70" s="6">
        <v>100</v>
      </c>
      <c r="J70" s="6">
        <v>100</v>
      </c>
      <c r="K70" s="6">
        <v>100</v>
      </c>
      <c r="L70" s="6">
        <v>100</v>
      </c>
      <c r="M70" s="6">
        <v>100</v>
      </c>
      <c r="N70" s="6">
        <f t="shared" ref="N70:O70" si="20">M70-0.2</f>
        <v>99.8</v>
      </c>
      <c r="O70" s="6">
        <f t="shared" si="20"/>
        <v>99.6</v>
      </c>
      <c r="P70" s="2507"/>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t="s">
        <v>3433</v>
      </c>
      <c r="D74" s="462" t="s">
        <v>3434</v>
      </c>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v>100</v>
      </c>
      <c r="D75" s="467">
        <v>95</v>
      </c>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0（含）-1</v>
      </c>
      <c r="D78" s="478" t="str">
        <f t="shared" ref="D78:L78" si="21">D79&amp;"（含）"&amp;"-"&amp;E79</f>
        <v>1（含）-2</v>
      </c>
      <c r="E78" s="478" t="str">
        <f t="shared" si="21"/>
        <v>2（含）-3</v>
      </c>
      <c r="F78" s="478" t="str">
        <f t="shared" si="21"/>
        <v>3（含）-4</v>
      </c>
      <c r="G78" s="478" t="str">
        <f t="shared" si="21"/>
        <v>4（含）-5</v>
      </c>
      <c r="H78" s="478" t="str">
        <f t="shared" si="21"/>
        <v>5（含）-6</v>
      </c>
      <c r="I78" s="478" t="str">
        <f t="shared" si="21"/>
        <v>6（含）-7</v>
      </c>
      <c r="J78" s="478" t="str">
        <f t="shared" si="21"/>
        <v>7（含）-8</v>
      </c>
      <c r="K78" s="478" t="str">
        <f t="shared" si="21"/>
        <v>8（含）-</v>
      </c>
      <c r="L78" s="478" t="str">
        <f t="shared" si="21"/>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v>0</v>
      </c>
      <c r="D79" s="480">
        <v>1</v>
      </c>
      <c r="E79" s="480">
        <v>2</v>
      </c>
      <c r="F79" s="480">
        <v>3</v>
      </c>
      <c r="G79" s="480">
        <v>4</v>
      </c>
      <c r="H79" s="480">
        <v>5</v>
      </c>
      <c r="I79" s="480">
        <v>6</v>
      </c>
      <c r="J79" s="480">
        <v>7</v>
      </c>
      <c r="K79" s="481">
        <v>8</v>
      </c>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2">IF($B$46="单位面积地价",C80+$K11,C80-$K11)</f>
        <v>100</v>
      </c>
      <c r="E80" s="475">
        <f t="shared" si="22"/>
        <v>100</v>
      </c>
      <c r="F80" s="475">
        <f t="shared" si="22"/>
        <v>100</v>
      </c>
      <c r="G80" s="475">
        <f t="shared" si="22"/>
        <v>100</v>
      </c>
      <c r="H80" s="475">
        <f t="shared" si="22"/>
        <v>100</v>
      </c>
      <c r="I80" s="475">
        <f t="shared" si="22"/>
        <v>100</v>
      </c>
      <c r="J80" s="475">
        <f t="shared" si="22"/>
        <v>100</v>
      </c>
      <c r="K80" s="475">
        <f t="shared" si="22"/>
        <v>100</v>
      </c>
      <c r="L80" s="475">
        <f t="shared" si="22"/>
        <v>100</v>
      </c>
      <c r="M80" s="475">
        <f t="shared" si="22"/>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99</v>
      </c>
      <c r="E102" s="475">
        <f>D102-$K29</f>
        <v>98</v>
      </c>
      <c r="F102" s="475">
        <f>E102-$K29</f>
        <v>97</v>
      </c>
      <c r="G102" s="475">
        <f>F102-$K29</f>
        <v>96</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3">C104-$K31</f>
        <v>100</v>
      </c>
      <c r="E104" s="475">
        <f t="shared" si="23"/>
        <v>100</v>
      </c>
      <c r="F104" s="475">
        <f t="shared" si="23"/>
        <v>100</v>
      </c>
      <c r="G104" s="475">
        <f t="shared" si="23"/>
        <v>100</v>
      </c>
      <c r="H104" s="475">
        <f t="shared" si="23"/>
        <v>100</v>
      </c>
      <c r="I104" s="475">
        <f t="shared" si="23"/>
        <v>100</v>
      </c>
      <c r="J104" s="475">
        <f t="shared" si="23"/>
        <v>100</v>
      </c>
      <c r="K104" s="475">
        <f t="shared" si="23"/>
        <v>100</v>
      </c>
      <c r="L104" s="475">
        <f t="shared" si="23"/>
        <v>100</v>
      </c>
      <c r="M104" s="475">
        <f t="shared" si="23"/>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3145" t="s">
        <v>3421</v>
      </c>
      <c r="D105" s="3145" t="s">
        <v>3423</v>
      </c>
      <c r="E105" s="3145" t="s">
        <v>3424</v>
      </c>
      <c r="F105" s="3145" t="s">
        <v>3426</v>
      </c>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C106-$K32</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5">
        <f t="shared" si="24"/>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C108-$K34</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5">
        <f t="shared" si="25"/>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28.5">
      <c r="A115" s="379" t="s">
        <v>1694</v>
      </c>
      <c r="B115" s="460" t="s">
        <v>1913</v>
      </c>
      <c r="C115" s="461" t="str">
        <f>C116&amp;"(含)"&amp;"-"&amp;D116</f>
        <v>0(含)-10000</v>
      </c>
      <c r="D115" s="461" t="str">
        <f t="shared" ref="D115:M115" si="26">D116&amp;"(含)"&amp;"-"&amp;E116</f>
        <v>10000(含)-30000</v>
      </c>
      <c r="E115" s="461" t="str">
        <f t="shared" si="26"/>
        <v>30000(含)-50000</v>
      </c>
      <c r="F115" s="461" t="str">
        <f t="shared" si="26"/>
        <v>50000(含)-70000</v>
      </c>
      <c r="G115" s="461" t="str">
        <f t="shared" si="26"/>
        <v>70000(含)-</v>
      </c>
      <c r="H115" s="461" t="str">
        <f t="shared" si="26"/>
        <v>(含)-</v>
      </c>
      <c r="I115" s="461" t="str">
        <f t="shared" si="26"/>
        <v>(含)-</v>
      </c>
      <c r="J115" s="461" t="str">
        <f t="shared" si="26"/>
        <v>(含)-</v>
      </c>
      <c r="K115" s="461" t="str">
        <f t="shared" si="26"/>
        <v>(含)-</v>
      </c>
      <c r="L115" s="461" t="str">
        <f t="shared" si="26"/>
        <v>(含)-</v>
      </c>
      <c r="M115" s="461" t="str">
        <f t="shared" si="26"/>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v>0</v>
      </c>
      <c r="D116" s="6">
        <v>10000</v>
      </c>
      <c r="E116" s="6">
        <v>30000</v>
      </c>
      <c r="F116" s="6">
        <v>50000</v>
      </c>
      <c r="G116" s="6">
        <v>70000</v>
      </c>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v>98</v>
      </c>
      <c r="D117" s="521">
        <v>99</v>
      </c>
      <c r="E117" s="521">
        <v>100</v>
      </c>
      <c r="F117" s="521">
        <v>99</v>
      </c>
      <c r="G117" s="521">
        <v>98</v>
      </c>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7">C119-$K39</f>
        <v>100</v>
      </c>
      <c r="E119" s="475">
        <f t="shared" si="27"/>
        <v>100</v>
      </c>
      <c r="F119" s="475">
        <f t="shared" si="27"/>
        <v>100</v>
      </c>
      <c r="G119" s="475">
        <f t="shared" si="27"/>
        <v>100</v>
      </c>
      <c r="H119" s="475">
        <f t="shared" si="27"/>
        <v>100</v>
      </c>
      <c r="I119" s="475">
        <f t="shared" si="27"/>
        <v>100</v>
      </c>
      <c r="J119" s="475">
        <f t="shared" si="27"/>
        <v>100</v>
      </c>
      <c r="K119" s="475">
        <f t="shared" si="27"/>
        <v>100</v>
      </c>
      <c r="L119" s="475">
        <f t="shared" si="27"/>
        <v>100</v>
      </c>
      <c r="M119" s="476">
        <f t="shared" si="27"/>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t="s">
        <v>3414</v>
      </c>
      <c r="D120" s="485" t="s">
        <v>3408</v>
      </c>
      <c r="E120" s="485" t="s">
        <v>3409</v>
      </c>
      <c r="F120" s="513" t="s">
        <v>3431</v>
      </c>
      <c r="G120" s="513" t="s">
        <v>3432</v>
      </c>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8">C121-$K40</f>
        <v>98</v>
      </c>
      <c r="E121" s="475">
        <f t="shared" si="28"/>
        <v>96</v>
      </c>
      <c r="F121" s="475">
        <f t="shared" si="28"/>
        <v>94</v>
      </c>
      <c r="G121" s="475">
        <f t="shared" si="28"/>
        <v>92</v>
      </c>
      <c r="H121" s="475">
        <f t="shared" si="28"/>
        <v>90</v>
      </c>
      <c r="I121" s="475">
        <f t="shared" si="28"/>
        <v>88</v>
      </c>
      <c r="J121" s="475">
        <f t="shared" si="28"/>
        <v>86</v>
      </c>
      <c r="K121" s="475">
        <f t="shared" si="28"/>
        <v>84</v>
      </c>
      <c r="L121" s="475">
        <f t="shared" si="28"/>
        <v>82</v>
      </c>
      <c r="M121" s="476">
        <f t="shared" si="28"/>
        <v>80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t="s">
        <v>3420</v>
      </c>
      <c r="D122" s="485" t="s">
        <v>3427</v>
      </c>
      <c r="E122" s="485" t="s">
        <v>3428</v>
      </c>
      <c r="F122" s="485" t="s">
        <v>3429</v>
      </c>
      <c r="G122" s="485" t="s">
        <v>3430</v>
      </c>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9">C123-$K41</f>
        <v>99.5</v>
      </c>
      <c r="E123" s="475">
        <f t="shared" si="29"/>
        <v>99</v>
      </c>
      <c r="F123" s="475">
        <f t="shared" si="29"/>
        <v>98.5</v>
      </c>
      <c r="G123" s="475">
        <f t="shared" si="29"/>
        <v>98</v>
      </c>
      <c r="H123" s="475">
        <f t="shared" si="29"/>
        <v>97.5</v>
      </c>
      <c r="I123" s="475">
        <f t="shared" si="29"/>
        <v>97</v>
      </c>
      <c r="J123" s="475">
        <f t="shared" si="29"/>
        <v>96.5</v>
      </c>
      <c r="K123" s="475">
        <f t="shared" si="29"/>
        <v>96</v>
      </c>
      <c r="L123" s="475">
        <f t="shared" si="29"/>
        <v>95.5</v>
      </c>
      <c r="M123" s="476">
        <f t="shared" si="29"/>
        <v>95</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t="s">
        <v>3414</v>
      </c>
      <c r="D124" s="485" t="s">
        <v>3408</v>
      </c>
      <c r="E124" s="513" t="s">
        <v>3409</v>
      </c>
      <c r="F124" s="513" t="s">
        <v>3431</v>
      </c>
      <c r="G124" s="513" t="s">
        <v>3432</v>
      </c>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30">C125-$K42</f>
        <v>98</v>
      </c>
      <c r="E125" s="475">
        <f t="shared" si="30"/>
        <v>96</v>
      </c>
      <c r="F125" s="475">
        <f t="shared" si="30"/>
        <v>94</v>
      </c>
      <c r="G125" s="475">
        <f t="shared" si="30"/>
        <v>92</v>
      </c>
      <c r="H125" s="475">
        <f t="shared" si="30"/>
        <v>90</v>
      </c>
      <c r="I125" s="475">
        <f t="shared" si="30"/>
        <v>88</v>
      </c>
      <c r="J125" s="475">
        <f t="shared" si="30"/>
        <v>86</v>
      </c>
      <c r="K125" s="475">
        <f t="shared" si="30"/>
        <v>84</v>
      </c>
      <c r="L125" s="475">
        <f t="shared" si="30"/>
        <v>82</v>
      </c>
      <c r="M125" s="476">
        <f t="shared" si="30"/>
        <v>80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xr:uid="{00000000-0002-0000-1300-000000000000}">
      <formula1>住宅朝向</formula1>
    </dataValidation>
    <dataValidation type="list" allowBlank="1" showInputMessage="1" showErrorMessage="1" sqref="E28 C28 G28 I28" xr:uid="{00000000-0002-0000-1300-000001000000}">
      <formula1>公共配套设施</formula1>
    </dataValidation>
    <dataValidation type="list" allowBlank="1" showInputMessage="1" showErrorMessage="1" sqref="E22 C22 G22 I22" xr:uid="{00000000-0002-0000-1300-000002000000}">
      <formula1>交通便捷度</formula1>
    </dataValidation>
    <dataValidation type="list" allowBlank="1" showInputMessage="1" showErrorMessage="1" sqref="E16 G16 I16 C16" xr:uid="{00000000-0002-0000-1300-000003000000}">
      <formula1>居住社区成熟度</formula1>
    </dataValidation>
    <dataValidation type="list" allowBlank="1" showInputMessage="1" showErrorMessage="1" sqref="C26 E26 G26 I26" xr:uid="{00000000-0002-0000-1300-000004000000}">
      <formula1>环境</formula1>
    </dataValidation>
    <dataValidation type="list" allowBlank="1" showInputMessage="1" showErrorMessage="1" sqref="B46" xr:uid="{00000000-0002-0000-1300-000005000000}">
      <formula1>单价内涵</formula1>
    </dataValidation>
    <dataValidation type="list" allowBlank="1" showInputMessage="1" showErrorMessage="1" sqref="C8 E8 G8 I8" xr:uid="{00000000-0002-0000-1300-000006000000}">
      <formula1>套综交易情况</formula1>
    </dataValidation>
    <dataValidation type="list" allowBlank="1" showInputMessage="1" showErrorMessage="1" sqref="C9 E9 G9 I9" xr:uid="{00000000-0002-0000-1300-000007000000}">
      <formula1>套综用途</formula1>
    </dataValidation>
    <dataValidation type="list" allowBlank="1" showInputMessage="1" showErrorMessage="1" sqref="E18 C18 G18 I18" xr:uid="{00000000-0002-0000-1300-000008000000}">
      <formula1>商业繁华度</formula1>
    </dataValidation>
    <dataValidation type="list" allowBlank="1" showInputMessage="1" showErrorMessage="1" sqref="E20 C20 G20 I20" xr:uid="{00000000-0002-0000-1300-000009000000}">
      <formula1>办公集聚程度</formula1>
    </dataValidation>
    <dataValidation type="list" allowBlank="1" showInputMessage="1" showErrorMessage="1" sqref="C33 E33 G33 I33" xr:uid="{00000000-0002-0000-1300-00000A000000}">
      <formula1>套综道路等级</formula1>
    </dataValidation>
    <dataValidation type="list" allowBlank="1" showInputMessage="1" showErrorMessage="1" sqref="C34 E34 G34 I34" xr:uid="{00000000-0002-0000-1300-00000B000000}">
      <formula1>套综土地级别</formula1>
    </dataValidation>
    <dataValidation type="list" allowBlank="1" showInputMessage="1" showErrorMessage="1" sqref="C39 E39 G39 I39" xr:uid="{00000000-0002-0000-1300-00000C000000}">
      <formula1>套综宗地形状</formula1>
    </dataValidation>
    <dataValidation type="list" allowBlank="1" showInputMessage="1" showErrorMessage="1" sqref="C40 E40 G40 I40" xr:uid="{00000000-0002-0000-1300-00000D000000}">
      <formula1>套综临街宽度及深度</formula1>
    </dataValidation>
    <dataValidation type="list" allowBlank="1" showInputMessage="1" showErrorMessage="1" sqref="C41 E41 G41 I41" xr:uid="{00000000-0002-0000-1300-00000E000000}">
      <formula1>套综宗地内开发程度</formula1>
    </dataValidation>
    <dataValidation type="list" allowBlank="1" showInputMessage="1" showErrorMessage="1" sqref="C42 E42 G42 I42" xr:uid="{00000000-0002-0000-1300-00000F000000}">
      <formula1>套综工程地质条件</formula1>
    </dataValidation>
    <dataValidation type="list" allowBlank="1" showInputMessage="1" showErrorMessage="1" sqref="C31 E31 G31 I31" xr:uid="{00000000-0002-0000-1300-000010000000}">
      <formula1>临街状况</formula1>
    </dataValidation>
    <dataValidation type="list" allowBlank="1" showInputMessage="1" showErrorMessage="1" sqref="E24 G24 I24 C24" xr:uid="{00000000-0002-0000-1300-000011000000}">
      <formula1>区域土地利用方向</formula1>
    </dataValidation>
    <dataValidation type="list" allowBlank="1" showInputMessage="1" showErrorMessage="1" sqref="C55" xr:uid="{00000000-0002-0000-1300-000012000000}">
      <formula1>"北京市系数,其他省市系数"</formula1>
    </dataValidation>
    <dataValidation type="list" allowBlank="1" showInputMessage="1" showErrorMessage="1" sqref="G61" xr:uid="{00000000-0002-0000-1300-000013000000}">
      <formula1>"商业,办公,住宅,工业"</formula1>
    </dataValidation>
    <dataValidation type="list" allowBlank="1" showInputMessage="1" showErrorMessage="1" sqref="G62" xr:uid="{00000000-0002-0000-1300-000014000000}">
      <formula1>"住宅,工业"</formula1>
    </dataValidation>
    <dataValidation type="list" allowBlank="1" showInputMessage="1" showErrorMessage="1" sqref="C30 E30 G30 I30" xr:uid="{00000000-0002-0000-1300-000015000000}">
      <formula1>基础设施水平</formula1>
    </dataValidation>
    <dataValidation type="list" allowBlank="1" showInputMessage="1" showErrorMessage="1" sqref="A70" xr:uid="{00000000-0002-0000-1300-000016000000}">
      <formula1>"综合,商业,办公,住宅"</formula1>
    </dataValidation>
    <dataValidation type="list" allowBlank="1" showInputMessage="1" showErrorMessage="1" sqref="D47" xr:uid="{00000000-0002-0000-1300-000017000000}">
      <formula1>"简单平均,加权平均"</formula1>
    </dataValidation>
    <dataValidation type="list" allowBlank="1" showInputMessage="1" showErrorMessage="1" sqref="D57:D64" xr:uid="{00000000-0002-0000-13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0" t="str">
        <f>项目基本情况!B1</f>
        <v>重庆市永川区房地产抵押价值预评估</v>
      </c>
      <c r="C37" s="3150"/>
      <c r="D37" s="3150"/>
      <c r="E37" s="3150"/>
      <c r="F37" s="3150"/>
      <c r="G37" s="3150"/>
      <c r="H37" s="3150"/>
      <c r="I37" s="3150"/>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I4"/>
  <sheetViews>
    <sheetView topLeftCell="R1" workbookViewId="0">
      <selection activeCell="AW10" sqref="AW10"/>
    </sheetView>
  </sheetViews>
  <sheetFormatPr defaultRowHeight="12.75"/>
  <cols>
    <col min="1" max="1" width="9" style="3144"/>
    <col min="2" max="8" width="0" style="3144" hidden="1" customWidth="1"/>
    <col min="9" max="10" width="9.125" style="3144" bestFit="1" customWidth="1"/>
    <col min="11" max="14" width="0" style="3144" hidden="1" customWidth="1"/>
    <col min="15" max="18" width="9" style="3144"/>
    <col min="19" max="19" width="9.125" style="3144" bestFit="1" customWidth="1"/>
    <col min="20" max="20" width="9.125" style="3144" hidden="1" customWidth="1"/>
    <col min="21" max="29" width="0" style="3144" hidden="1" customWidth="1"/>
    <col min="30" max="32" width="11.625" style="3144" hidden="1" customWidth="1"/>
    <col min="33" max="33" width="11.625" style="3144" bestFit="1" customWidth="1"/>
    <col min="34" max="36" width="9" style="3144"/>
    <col min="37" max="39" width="0" style="3144" hidden="1" customWidth="1"/>
    <col min="40" max="41" width="9.125" style="3144" hidden="1" customWidth="1"/>
    <col min="42" max="42" width="0" style="3144" hidden="1" customWidth="1"/>
    <col min="43" max="43" width="9.125" style="3144" bestFit="1" customWidth="1"/>
    <col min="44" max="48" width="9.125" style="3144" hidden="1" customWidth="1"/>
    <col min="49" max="49" width="9.125" style="3144" bestFit="1" customWidth="1"/>
    <col min="50" max="50" width="29" style="3144" bestFit="1" customWidth="1"/>
    <col min="51" max="51" width="3.75" style="3144" customWidth="1"/>
    <col min="52" max="52" width="9.125" style="3144" bestFit="1" customWidth="1"/>
    <col min="53" max="54" width="9" style="3144"/>
    <col min="55" max="55" width="9.125" style="3144" bestFit="1" customWidth="1"/>
    <col min="56" max="16384" width="9" style="3144"/>
  </cols>
  <sheetData>
    <row r="1" spans="1:61" s="1155" customFormat="1" ht="13.5">
      <c r="A1" s="1155" t="s">
        <v>3443</v>
      </c>
      <c r="B1" s="1155" t="s">
        <v>3444</v>
      </c>
      <c r="C1" s="1155" t="s">
        <v>3445</v>
      </c>
      <c r="D1" s="1155" t="s">
        <v>3446</v>
      </c>
      <c r="E1" s="1155" t="s">
        <v>3447</v>
      </c>
      <c r="F1" s="1155" t="s">
        <v>3448</v>
      </c>
      <c r="G1" s="1155" t="s">
        <v>3449</v>
      </c>
      <c r="H1" s="1155" t="s">
        <v>3450</v>
      </c>
      <c r="I1" s="1155" t="s">
        <v>3451</v>
      </c>
      <c r="J1" s="1155" t="s">
        <v>3452</v>
      </c>
      <c r="K1" s="1155" t="s">
        <v>3453</v>
      </c>
      <c r="L1" s="1155" t="s">
        <v>3454</v>
      </c>
      <c r="M1" s="1155" t="s">
        <v>3455</v>
      </c>
      <c r="N1" s="1155" t="s">
        <v>3456</v>
      </c>
      <c r="O1" s="1155" t="s">
        <v>3457</v>
      </c>
      <c r="P1" s="1155" t="s">
        <v>3458</v>
      </c>
      <c r="Q1" s="1155" t="s">
        <v>3459</v>
      </c>
      <c r="R1" s="1155" t="s">
        <v>3460</v>
      </c>
      <c r="S1" s="1155" t="s">
        <v>3461</v>
      </c>
      <c r="T1" s="1155" t="s">
        <v>3462</v>
      </c>
      <c r="U1" s="1155" t="s">
        <v>3463</v>
      </c>
      <c r="V1" s="1155" t="s">
        <v>3464</v>
      </c>
      <c r="W1" s="1155" t="s">
        <v>3465</v>
      </c>
      <c r="X1" s="1155" t="s">
        <v>3466</v>
      </c>
      <c r="Y1" s="1155" t="s">
        <v>3467</v>
      </c>
      <c r="Z1" s="1155" t="s">
        <v>3468</v>
      </c>
      <c r="AA1" s="1155" t="s">
        <v>3469</v>
      </c>
      <c r="AB1" s="1155" t="s">
        <v>3470</v>
      </c>
      <c r="AC1" s="1155" t="s">
        <v>3471</v>
      </c>
      <c r="AD1" s="1155" t="s">
        <v>3472</v>
      </c>
      <c r="AE1" s="1155" t="s">
        <v>3473</v>
      </c>
      <c r="AF1" s="1155" t="s">
        <v>3474</v>
      </c>
      <c r="AG1" s="1155" t="s">
        <v>3475</v>
      </c>
      <c r="AH1" s="1155" t="s">
        <v>3476</v>
      </c>
      <c r="AI1" s="1155" t="s">
        <v>3477</v>
      </c>
      <c r="AJ1" s="1155" t="s">
        <v>3478</v>
      </c>
      <c r="AK1" s="1155" t="s">
        <v>3479</v>
      </c>
      <c r="AL1" s="1155" t="s">
        <v>3480</v>
      </c>
      <c r="AM1" s="1155" t="s">
        <v>3481</v>
      </c>
      <c r="AN1" s="1155" t="s">
        <v>3482</v>
      </c>
      <c r="AO1" s="1155" t="s">
        <v>3483</v>
      </c>
      <c r="AP1" s="1155" t="s">
        <v>3484</v>
      </c>
      <c r="AQ1" s="1155" t="s">
        <v>3485</v>
      </c>
      <c r="AR1" s="1155" t="s">
        <v>3486</v>
      </c>
      <c r="AS1" s="1155" t="s">
        <v>3487</v>
      </c>
      <c r="AT1" s="1155" t="s">
        <v>3488</v>
      </c>
      <c r="AU1" s="1155" t="s">
        <v>3489</v>
      </c>
      <c r="AV1" s="1155" t="s">
        <v>3490</v>
      </c>
      <c r="AW1" s="1155" t="s">
        <v>3491</v>
      </c>
      <c r="AX1" s="1155" t="s">
        <v>3492</v>
      </c>
      <c r="AY1" s="1155" t="s">
        <v>3493</v>
      </c>
      <c r="AZ1" s="1155" t="s">
        <v>3494</v>
      </c>
      <c r="BA1" s="1155" t="s">
        <v>3495</v>
      </c>
      <c r="BB1" s="1155" t="s">
        <v>3496</v>
      </c>
      <c r="BC1" s="1155" t="s">
        <v>3497</v>
      </c>
      <c r="BD1" s="1155" t="s">
        <v>3498</v>
      </c>
      <c r="BE1" s="1155" t="s">
        <v>3499</v>
      </c>
      <c r="BF1" s="1155" t="s">
        <v>3500</v>
      </c>
      <c r="BG1" s="1155" t="s">
        <v>3501</v>
      </c>
      <c r="BH1" s="1155" t="s">
        <v>3502</v>
      </c>
      <c r="BI1" s="1155" t="s">
        <v>3503</v>
      </c>
    </row>
    <row r="2" spans="1:61" s="1155" customFormat="1" ht="13.5">
      <c r="A2" s="1155" t="s">
        <v>3504</v>
      </c>
      <c r="B2" s="1155" t="s">
        <v>3505</v>
      </c>
      <c r="C2" s="1155" t="s">
        <v>3506</v>
      </c>
      <c r="D2" s="1155" t="s">
        <v>3507</v>
      </c>
      <c r="E2" s="1155" t="s">
        <v>3508</v>
      </c>
      <c r="F2" s="1155" t="s">
        <v>3509</v>
      </c>
      <c r="G2" s="1155" t="s">
        <v>3510</v>
      </c>
      <c r="H2" s="1155" t="s">
        <v>3511</v>
      </c>
      <c r="I2" s="1155">
        <v>16035</v>
      </c>
      <c r="J2" s="1155">
        <v>24052.5</v>
      </c>
      <c r="K2" s="1155" t="s">
        <v>3416</v>
      </c>
      <c r="L2" s="1155" t="s">
        <v>3416</v>
      </c>
      <c r="M2" s="1155">
        <v>0</v>
      </c>
      <c r="N2" s="1155">
        <v>0</v>
      </c>
      <c r="O2" s="1155" t="s">
        <v>3512</v>
      </c>
      <c r="P2" s="1155" t="s">
        <v>3513</v>
      </c>
      <c r="Q2" s="1155" t="s">
        <v>3514</v>
      </c>
      <c r="R2" s="1155">
        <v>40</v>
      </c>
      <c r="S2" s="1155" t="s">
        <v>3515</v>
      </c>
      <c r="T2" s="1155">
        <v>1.5</v>
      </c>
      <c r="U2" s="1155" t="s">
        <v>3416</v>
      </c>
      <c r="V2" s="1155" t="s">
        <v>3516</v>
      </c>
      <c r="W2" s="1155" t="s">
        <v>3416</v>
      </c>
      <c r="X2" s="1155" t="s">
        <v>3517</v>
      </c>
      <c r="Y2" s="1155" t="s">
        <v>3417</v>
      </c>
      <c r="Z2" s="1155" t="s">
        <v>3416</v>
      </c>
      <c r="AA2" s="1155" t="s">
        <v>3416</v>
      </c>
      <c r="AB2" s="1155" t="s">
        <v>3416</v>
      </c>
      <c r="AC2" s="1155" t="s">
        <v>3416</v>
      </c>
      <c r="AD2" s="3149">
        <v>45442.000497685185</v>
      </c>
      <c r="AE2" s="3149">
        <v>45463.000497685185</v>
      </c>
      <c r="AF2" s="3149">
        <v>45463.000497685185</v>
      </c>
      <c r="AG2" s="3149">
        <v>45463.000497685185</v>
      </c>
      <c r="AH2" s="1155" t="s">
        <v>3518</v>
      </c>
      <c r="AI2" s="1155" t="s">
        <v>3519</v>
      </c>
      <c r="AJ2" s="1155" t="s">
        <v>3520</v>
      </c>
      <c r="AK2" s="1155" t="s">
        <v>3521</v>
      </c>
      <c r="AL2" s="1155" t="s">
        <v>3522</v>
      </c>
      <c r="AM2" s="1155" t="s">
        <v>3523</v>
      </c>
      <c r="AN2" s="1155">
        <v>7216</v>
      </c>
      <c r="AO2" s="1155">
        <v>1444</v>
      </c>
      <c r="AP2" s="1155" t="s">
        <v>3524</v>
      </c>
      <c r="AQ2" s="1155">
        <v>7216</v>
      </c>
      <c r="AR2" s="1155">
        <v>4500.1499999999996</v>
      </c>
      <c r="AS2" s="1155">
        <v>4500.1499999999996</v>
      </c>
      <c r="AT2" s="1155">
        <v>300.01</v>
      </c>
      <c r="AU2" s="1155">
        <v>300.01</v>
      </c>
      <c r="AV2" s="1155">
        <v>3000</v>
      </c>
      <c r="AW2" s="1155">
        <v>3000</v>
      </c>
      <c r="AX2" s="1155" t="s">
        <v>3416</v>
      </c>
      <c r="AY2" s="1155" t="s">
        <v>3416</v>
      </c>
      <c r="AZ2" s="1155">
        <v>0</v>
      </c>
      <c r="BA2" s="1155" t="s">
        <v>3416</v>
      </c>
      <c r="BB2" s="1155" t="s">
        <v>3416</v>
      </c>
      <c r="BC2" s="1155" t="s">
        <v>3416</v>
      </c>
      <c r="BD2" s="1155" t="s">
        <v>3416</v>
      </c>
      <c r="BE2" s="1155" t="s">
        <v>3416</v>
      </c>
      <c r="BF2" s="1155" t="s">
        <v>3416</v>
      </c>
      <c r="BG2" s="1155" t="s">
        <v>3416</v>
      </c>
      <c r="BH2" s="1155" t="s">
        <v>3525</v>
      </c>
      <c r="BI2" s="1155" t="s">
        <v>3418</v>
      </c>
    </row>
    <row r="3" spans="1:61" s="1155" customFormat="1" ht="13.5">
      <c r="A3" s="1155" t="s">
        <v>3526</v>
      </c>
      <c r="B3" s="1155" t="s">
        <v>3505</v>
      </c>
      <c r="C3" s="1155" t="s">
        <v>3506</v>
      </c>
      <c r="D3" s="1155" t="s">
        <v>3507</v>
      </c>
      <c r="E3" s="1155" t="s">
        <v>3527</v>
      </c>
      <c r="F3" s="1155" t="s">
        <v>3528</v>
      </c>
      <c r="G3" s="1155" t="s">
        <v>3529</v>
      </c>
      <c r="H3" s="1155" t="s">
        <v>3530</v>
      </c>
      <c r="I3" s="1155">
        <v>15169</v>
      </c>
      <c r="J3" s="1155">
        <v>22753.5</v>
      </c>
      <c r="K3" s="1155" t="s">
        <v>3416</v>
      </c>
      <c r="L3" s="1155" t="s">
        <v>3416</v>
      </c>
      <c r="M3" s="1155">
        <v>0</v>
      </c>
      <c r="N3" s="1155">
        <v>0</v>
      </c>
      <c r="O3" s="1155" t="s">
        <v>3512</v>
      </c>
      <c r="P3" s="1155" t="s">
        <v>3531</v>
      </c>
      <c r="Q3" s="1155" t="s">
        <v>3532</v>
      </c>
      <c r="R3" s="1155">
        <v>40</v>
      </c>
      <c r="S3" s="1155" t="s">
        <v>3515</v>
      </c>
      <c r="T3" s="1155">
        <v>1.5</v>
      </c>
      <c r="U3" s="1155" t="s">
        <v>3416</v>
      </c>
      <c r="V3" s="1155" t="s">
        <v>3533</v>
      </c>
      <c r="W3" s="1155" t="s">
        <v>3416</v>
      </c>
      <c r="X3" s="1155" t="s">
        <v>3517</v>
      </c>
      <c r="Y3" s="1155" t="s">
        <v>3417</v>
      </c>
      <c r="Z3" s="1155" t="s">
        <v>3416</v>
      </c>
      <c r="AA3" s="1155" t="s">
        <v>3416</v>
      </c>
      <c r="AB3" s="1155" t="s">
        <v>3416</v>
      </c>
      <c r="AC3" s="1155" t="s">
        <v>3416</v>
      </c>
      <c r="AD3" s="3149">
        <v>45442.000497685185</v>
      </c>
      <c r="AE3" s="3149">
        <v>45463.000497685185</v>
      </c>
      <c r="AF3" s="3149">
        <v>45463.000497685185</v>
      </c>
      <c r="AG3" s="3149">
        <v>45463.000497685185</v>
      </c>
      <c r="AH3" s="1155" t="s">
        <v>3518</v>
      </c>
      <c r="AI3" s="1155" t="s">
        <v>3519</v>
      </c>
      <c r="AJ3" s="1155" t="s">
        <v>3534</v>
      </c>
      <c r="AK3" s="1155" t="s">
        <v>3535</v>
      </c>
      <c r="AL3" s="1155" t="s">
        <v>3536</v>
      </c>
      <c r="AM3" s="1155" t="s">
        <v>3416</v>
      </c>
      <c r="AN3" s="1155">
        <v>6736</v>
      </c>
      <c r="AO3" s="1155">
        <v>1348</v>
      </c>
      <c r="AP3" s="1155" t="s">
        <v>3524</v>
      </c>
      <c r="AQ3" s="1155">
        <v>6736</v>
      </c>
      <c r="AR3" s="1155">
        <v>4440.63</v>
      </c>
      <c r="AS3" s="1155">
        <v>4440.63</v>
      </c>
      <c r="AT3" s="1155">
        <v>296.04000000000002</v>
      </c>
      <c r="AU3" s="1155">
        <v>296.04000000000002</v>
      </c>
      <c r="AV3" s="1155">
        <v>2960</v>
      </c>
      <c r="AW3" s="1155">
        <v>2960</v>
      </c>
      <c r="AX3" s="1155" t="s">
        <v>3416</v>
      </c>
      <c r="AY3" s="1155" t="s">
        <v>3416</v>
      </c>
      <c r="AZ3" s="1155">
        <v>0</v>
      </c>
      <c r="BA3" s="1155" t="s">
        <v>3416</v>
      </c>
      <c r="BB3" s="1155" t="s">
        <v>3416</v>
      </c>
      <c r="BC3" s="1155" t="s">
        <v>3416</v>
      </c>
      <c r="BD3" s="1155" t="s">
        <v>3416</v>
      </c>
      <c r="BE3" s="1155" t="s">
        <v>3416</v>
      </c>
      <c r="BF3" s="1155" t="s">
        <v>3416</v>
      </c>
      <c r="BG3" s="1155" t="s">
        <v>3416</v>
      </c>
      <c r="BH3" s="1155" t="s">
        <v>3525</v>
      </c>
      <c r="BI3" s="1155" t="s">
        <v>3418</v>
      </c>
    </row>
    <row r="4" spans="1:61" s="1155" customFormat="1" ht="13.5">
      <c r="A4" s="1155" t="s">
        <v>3537</v>
      </c>
      <c r="B4" s="1155" t="s">
        <v>3505</v>
      </c>
      <c r="C4" s="1155" t="s">
        <v>3506</v>
      </c>
      <c r="D4" s="1155" t="s">
        <v>3507</v>
      </c>
      <c r="E4" s="1155" t="s">
        <v>3527</v>
      </c>
      <c r="F4" s="1155" t="s">
        <v>3538</v>
      </c>
      <c r="G4" s="1155" t="s">
        <v>3539</v>
      </c>
      <c r="H4" s="1155" t="s">
        <v>3540</v>
      </c>
      <c r="I4" s="1155">
        <v>36408</v>
      </c>
      <c r="J4" s="1155">
        <v>54612</v>
      </c>
      <c r="K4" s="1155" t="s">
        <v>3416</v>
      </c>
      <c r="L4" s="1155" t="s">
        <v>3416</v>
      </c>
      <c r="M4" s="1155">
        <v>0</v>
      </c>
      <c r="N4" s="1155">
        <v>0</v>
      </c>
      <c r="O4" s="1155" t="s">
        <v>3512</v>
      </c>
      <c r="P4" s="1155" t="s">
        <v>3531</v>
      </c>
      <c r="Q4" s="1155" t="s">
        <v>3541</v>
      </c>
      <c r="R4" s="1155">
        <v>40</v>
      </c>
      <c r="S4" s="1155" t="s">
        <v>3515</v>
      </c>
      <c r="T4" s="1155">
        <v>1.5</v>
      </c>
      <c r="U4" s="1155" t="s">
        <v>3416</v>
      </c>
      <c r="V4" s="1155" t="s">
        <v>3542</v>
      </c>
      <c r="W4" s="1155" t="s">
        <v>3416</v>
      </c>
      <c r="X4" s="1155" t="s">
        <v>3517</v>
      </c>
      <c r="Y4" s="1155" t="s">
        <v>3417</v>
      </c>
      <c r="Z4" s="1155" t="s">
        <v>3416</v>
      </c>
      <c r="AA4" s="1155" t="s">
        <v>3416</v>
      </c>
      <c r="AB4" s="1155" t="s">
        <v>3416</v>
      </c>
      <c r="AC4" s="1155" t="s">
        <v>3416</v>
      </c>
      <c r="AD4" s="3149">
        <v>45442.000497685185</v>
      </c>
      <c r="AE4" s="3149">
        <v>45463.000497685185</v>
      </c>
      <c r="AF4" s="3149">
        <v>45463.000497685185</v>
      </c>
      <c r="AG4" s="3149">
        <v>45463.000497685185</v>
      </c>
      <c r="AH4" s="1155" t="s">
        <v>3518</v>
      </c>
      <c r="AI4" s="1155" t="s">
        <v>3519</v>
      </c>
      <c r="AJ4" s="1155" t="s">
        <v>3520</v>
      </c>
      <c r="AK4" s="1155" t="s">
        <v>3521</v>
      </c>
      <c r="AL4" s="1155" t="s">
        <v>3522</v>
      </c>
      <c r="AM4" s="1155" t="s">
        <v>3523</v>
      </c>
      <c r="AN4" s="1155">
        <v>15893</v>
      </c>
      <c r="AO4" s="1155">
        <v>3179</v>
      </c>
      <c r="AP4" s="1155" t="s">
        <v>3524</v>
      </c>
      <c r="AQ4" s="1155">
        <v>15893</v>
      </c>
      <c r="AR4" s="1155">
        <v>4365.24</v>
      </c>
      <c r="AS4" s="1155">
        <v>4365.24</v>
      </c>
      <c r="AT4" s="1155">
        <v>291.02</v>
      </c>
      <c r="AU4" s="1155">
        <v>291.02</v>
      </c>
      <c r="AV4" s="1155">
        <v>2910</v>
      </c>
      <c r="AW4" s="1155">
        <v>2910</v>
      </c>
      <c r="AX4" s="1155" t="s">
        <v>3416</v>
      </c>
      <c r="AY4" s="1155" t="s">
        <v>3416</v>
      </c>
      <c r="AZ4" s="1155">
        <v>0</v>
      </c>
      <c r="BA4" s="1155" t="s">
        <v>3416</v>
      </c>
      <c r="BB4" s="1155" t="s">
        <v>3416</v>
      </c>
      <c r="BC4" s="1155" t="s">
        <v>3416</v>
      </c>
      <c r="BD4" s="1155" t="s">
        <v>3416</v>
      </c>
      <c r="BE4" s="1155" t="s">
        <v>3416</v>
      </c>
      <c r="BF4" s="1155" t="s">
        <v>3416</v>
      </c>
      <c r="BG4" s="1155" t="s">
        <v>3416</v>
      </c>
      <c r="BH4" s="1155" t="s">
        <v>3525</v>
      </c>
      <c r="BI4" s="1155" t="s">
        <v>3418</v>
      </c>
    </row>
  </sheetData>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57"/>
  <sheetViews>
    <sheetView view="pageBreakPreview" zoomScale="85" zoomScaleNormal="70" zoomScaleSheetLayoutView="85" workbookViewId="0">
      <selection activeCell="C6" sqref="C6"/>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2">
        <f>MATCH(B1,'数据-取费表'!A6:A16,0)+5</f>
        <v>7</v>
      </c>
    </row>
    <row r="2" spans="1:9" s="192" customFormat="1" ht="18" customHeight="1">
      <c r="A2" s="193" t="s">
        <v>1462</v>
      </c>
      <c r="B2" s="194">
        <f ca="1">IF(D2="——",C52,C52-E2)</f>
        <v>1673</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7043</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649</v>
      </c>
      <c r="D5" s="203" t="s">
        <v>1469</v>
      </c>
      <c r="E5" s="204" t="s">
        <v>1470</v>
      </c>
      <c r="F5" s="204" t="s">
        <v>1471</v>
      </c>
      <c r="G5" s="205"/>
    </row>
    <row r="6" spans="1:9" s="206" customFormat="1" ht="13.5" customHeight="1">
      <c r="A6" s="732" t="s">
        <v>1472</v>
      </c>
      <c r="B6" s="207" t="s">
        <v>1473</v>
      </c>
      <c r="C6" s="208">
        <f>'土地比较法-住宅、综合'!F65</f>
        <v>583</v>
      </c>
      <c r="D6" s="209"/>
      <c r="E6" s="210"/>
      <c r="F6" s="210"/>
      <c r="G6" s="211"/>
    </row>
    <row r="7" spans="1:9" s="206" customFormat="1" ht="13.5" customHeight="1">
      <c r="A7" s="732" t="s">
        <v>1474</v>
      </c>
      <c r="B7" s="207" t="s">
        <v>1475</v>
      </c>
      <c r="C7" s="212">
        <f>ROUND(C6*F7,0)</f>
        <v>18</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48</v>
      </c>
      <c r="D8" s="214"/>
      <c r="E8" s="212"/>
      <c r="F8" s="213"/>
      <c r="G8" s="1713" t="s">
        <v>3410</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4" t="s">
        <v>3411</v>
      </c>
      <c r="H9" s="1070"/>
      <c r="I9" s="1715" t="s">
        <v>1479</v>
      </c>
    </row>
    <row r="10" spans="1:9" s="206" customFormat="1" ht="13.5" customHeight="1">
      <c r="A10" s="733" t="s">
        <v>356</v>
      </c>
      <c r="B10" s="216" t="s">
        <v>1480</v>
      </c>
      <c r="C10" s="217">
        <f ca="1">ROUND(D10*E10/10000,0)</f>
        <v>48</v>
      </c>
      <c r="D10" s="795">
        <f ca="1">IF(B1="",'数据-汇总表'!E6,IF(INDIRECT("'数据-取费表'!c"&amp;$G$1)="住宅",INDIRECT("'数据-取费表'!s"&amp;$G$1),INDIRECT("'数据-取费表'!k"&amp;$G$1)+INDIRECT("'数据-取费表'!s"&amp;$G$1)))</f>
        <v>2375.33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2375.33</v>
      </c>
      <c r="E19" s="203">
        <f>'数据-取费表'!B31</f>
        <v>200</v>
      </c>
      <c r="F19" s="223"/>
      <c r="G19" s="1713" t="s">
        <v>3412</v>
      </c>
    </row>
    <row r="20" spans="1:7" s="206" customFormat="1" ht="13.5" customHeight="1">
      <c r="A20" s="247" t="s">
        <v>1493</v>
      </c>
      <c r="B20" s="202" t="s">
        <v>1494</v>
      </c>
      <c r="C20" s="224">
        <f>ROUND((C5+C19)*F20,0)</f>
        <v>13</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22</v>
      </c>
      <c r="D22" s="227">
        <f ca="1">C26</f>
        <v>2.9999999999999997E-4</v>
      </c>
      <c r="E22" s="228" t="s">
        <v>1498</v>
      </c>
      <c r="F22" s="229">
        <f ca="1">'数据-取费表'!B40</f>
        <v>3.3500000000000002E-2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22</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66</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66</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811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796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713</v>
      </c>
      <c r="D34" s="209"/>
      <c r="E34" s="212"/>
      <c r="F34" s="249">
        <f ca="1">IF('数据-取费表'!B24=0,1,IF(B1="",'数据-取费表'!N16,INDIRECT("'数据-取费表'!n"&amp;$G$1)))</f>
        <v>1</v>
      </c>
      <c r="G34" s="211" t="s">
        <v>1526</v>
      </c>
    </row>
    <row r="35" spans="1:7" ht="13.5" customHeight="1">
      <c r="A35" s="734" t="s">
        <v>351</v>
      </c>
      <c r="B35" s="207" t="s">
        <v>1527</v>
      </c>
      <c r="C35" s="212">
        <f ca="1">ROUND(C34*F35,0)</f>
        <v>21</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48</v>
      </c>
      <c r="D37" s="209">
        <f ca="1">D19</f>
        <v>2375.33</v>
      </c>
      <c r="E37" s="241">
        <f>'数据-取费表'!B35</f>
        <v>200</v>
      </c>
      <c r="F37" s="251"/>
      <c r="G37" s="253" t="s">
        <v>1532</v>
      </c>
    </row>
    <row r="38" spans="1:7" ht="13.5" customHeight="1">
      <c r="A38" s="734" t="s">
        <v>354</v>
      </c>
      <c r="B38" s="207" t="s">
        <v>1533</v>
      </c>
      <c r="C38" s="212">
        <f ca="1">ROUND(C34*F38,0)</f>
        <v>14</v>
      </c>
      <c r="D38" s="212"/>
      <c r="E38" s="212"/>
      <c r="F38" s="251">
        <f>'数据-取费表'!B36</f>
        <v>0.02</v>
      </c>
      <c r="G38" s="211" t="s">
        <v>1528</v>
      </c>
    </row>
    <row r="39" spans="1:7" s="206" customFormat="1" ht="13.5" customHeight="1">
      <c r="A39" s="247" t="s">
        <v>1534</v>
      </c>
      <c r="B39" s="202" t="s">
        <v>1535</v>
      </c>
      <c r="C39" s="224">
        <f ca="1">ROUND(C33*F20,0)</f>
        <v>16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13</v>
      </c>
      <c r="D41" s="227">
        <f ca="1">C44</f>
        <v>2.9999999999999997E-4</v>
      </c>
      <c r="E41" s="228" t="s">
        <v>1539</v>
      </c>
      <c r="F41" s="229">
        <f ca="1">F22</f>
        <v>3.3500000000000002E-2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13</v>
      </c>
      <c r="D42" s="230"/>
      <c r="E42" s="230"/>
      <c r="F42" s="231"/>
      <c r="G42" s="3374" t="s">
        <v>1544</v>
      </c>
    </row>
    <row r="43" spans="1:7" ht="13.5" customHeight="1">
      <c r="A43" s="734" t="s">
        <v>347</v>
      </c>
      <c r="B43" s="207" t="s">
        <v>1545</v>
      </c>
      <c r="C43" s="230">
        <f ca="1">ROUND(IF('数据-取费表'!B22&lt;=1,C39*F22*'数据-取费表'!B21/2,C39*(POWER((1+F22),'数据-取费表'!B21/2)-1)),0)</f>
        <v>0</v>
      </c>
      <c r="D43" s="230"/>
      <c r="E43" s="230"/>
      <c r="F43" s="231"/>
      <c r="G43" s="3375"/>
    </row>
    <row r="44" spans="1:7" ht="13.5" customHeight="1">
      <c r="A44" s="734" t="s">
        <v>348</v>
      </c>
      <c r="B44" s="207" t="s">
        <v>1546</v>
      </c>
      <c r="C44" s="230">
        <f ca="1">ROUND(IF('数据-取费表'!B22&lt;=1,C40*F22*'数据-取费表'!B21/2,C40*(POWER((1+F22),'数据-取费表'!B21/2)-1)),4)</f>
        <v>2.9999999999999997E-4</v>
      </c>
      <c r="D44" s="230"/>
      <c r="E44" s="230"/>
      <c r="F44" s="231"/>
      <c r="G44" s="3376"/>
    </row>
    <row r="45" spans="1:7" s="206" customFormat="1" ht="13.5" customHeight="1">
      <c r="A45" s="247" t="s">
        <v>1547</v>
      </c>
      <c r="B45" s="236" t="s">
        <v>1513</v>
      </c>
      <c r="C45" s="237">
        <f ca="1">C46</f>
        <v>81</v>
      </c>
      <c r="D45" s="227">
        <f ca="1">C47</f>
        <v>2E-3</v>
      </c>
      <c r="E45" s="228" t="s">
        <v>1539</v>
      </c>
      <c r="F45" s="238">
        <f ca="1">F27</f>
        <v>0.1</v>
      </c>
      <c r="G45" s="239" t="s">
        <v>1548</v>
      </c>
    </row>
    <row r="46" spans="1:7" s="206" customFormat="1" ht="13.5" customHeight="1">
      <c r="A46" s="734" t="s">
        <v>346</v>
      </c>
      <c r="B46" s="240" t="s">
        <v>1549</v>
      </c>
      <c r="C46" s="241">
        <f ca="1">ROUND((C33+C39)*F27,0)</f>
        <v>81</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979</v>
      </c>
      <c r="D49" s="224"/>
      <c r="E49" s="224"/>
      <c r="F49" s="256"/>
      <c r="G49" s="226" t="s">
        <v>1554</v>
      </c>
    </row>
    <row r="50" spans="1:7" s="250" customFormat="1" ht="24">
      <c r="A50" s="247" t="s">
        <v>1555</v>
      </c>
      <c r="B50" s="202" t="s">
        <v>1556</v>
      </c>
      <c r="C50" s="224"/>
      <c r="D50" s="224"/>
      <c r="E50" s="224"/>
      <c r="F50" s="256">
        <f>IF('数据-取费表'!B24=0,'数据-取费表'!N16,1)</f>
        <v>0.88</v>
      </c>
      <c r="G50" s="239" t="s">
        <v>1557</v>
      </c>
    </row>
    <row r="51" spans="1:7" ht="16.5" customHeight="1">
      <c r="A51" s="247" t="s">
        <v>1558</v>
      </c>
      <c r="B51" s="202" t="s">
        <v>1559</v>
      </c>
      <c r="C51" s="224">
        <f ca="1">ROUND(C49*F50,0)</f>
        <v>862</v>
      </c>
      <c r="D51" s="224"/>
      <c r="E51" s="224"/>
      <c r="F51" s="256"/>
      <c r="G51" s="226" t="s">
        <v>1560</v>
      </c>
    </row>
    <row r="52" spans="1:7" s="200" customFormat="1" ht="16.5" thickBot="1">
      <c r="A52" s="257" t="s">
        <v>1561</v>
      </c>
      <c r="B52" s="258"/>
      <c r="C52" s="259">
        <f ca="1">C31+C51</f>
        <v>1673</v>
      </c>
      <c r="D52" s="258"/>
      <c r="E52" s="258"/>
      <c r="F52" s="258"/>
      <c r="G52" s="260"/>
    </row>
    <row r="55" spans="1:7" ht="15">
      <c r="B55" s="262" t="s">
        <v>1562</v>
      </c>
      <c r="C55" s="263"/>
    </row>
    <row r="56" spans="1:7">
      <c r="B56" s="265" t="s">
        <v>802</v>
      </c>
      <c r="C56" s="267">
        <f ca="1">1-C57</f>
        <v>0.48499999999999999</v>
      </c>
    </row>
    <row r="57" spans="1:7">
      <c r="B57" s="265" t="s">
        <v>803</v>
      </c>
      <c r="C57" s="266">
        <f ca="1">ROUND(C51/C52,3)</f>
        <v>0.51500000000000001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9" xr:uid="{00000000-0002-0000-1500-000003000000}">
      <formula1>"部分缴纳,全部缴纳"</formula1>
    </dataValidation>
    <dataValidation type="list" allowBlank="1" showInputMessage="1" showErrorMessage="1" sqref="G2" xr:uid="{00000000-0002-0000-1500-000004000000}">
      <formula1>估价方法</formula1>
    </dataValidation>
    <dataValidation type="list" allowBlank="1" showInputMessage="1" showErrorMessage="1" sqref="D2" xr:uid="{00000000-0002-0000-15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2">
        <f>MATCH(B1,'数据-取费表'!A6:A16,0)+5</f>
        <v>7</v>
      </c>
      <c r="H1" s="998" t="str">
        <f>IF(ISERROR(FIND("住宅",B1)),"非住宅","住宅")</f>
        <v>非住宅</v>
      </c>
    </row>
    <row r="2" spans="1:8" s="192" customFormat="1" ht="18" customHeight="1">
      <c r="A2" s="193" t="s">
        <v>1462</v>
      </c>
      <c r="B2" s="3121">
        <f ca="1">ROUND(IF(D2="——",C52/10000,C52/10000-E2),4)</f>
        <v>980.72069999999997</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4129</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475066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475066</v>
      </c>
      <c r="D8" s="214"/>
      <c r="E8" s="212"/>
      <c r="F8" s="213"/>
      <c r="G8" s="1713"/>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475066</v>
      </c>
      <c r="D10" s="795">
        <f ca="1">IF(B1="",'数据-汇总表'!E6,IF(INDIRECT("'数据-取费表'!c"&amp;$G$1)="住宅",INDIRECT("'数据-取费表'!s"&amp;$G$1),INDIRECT("'数据-取费表'!k"&amp;$G$1)+INDIRECT("'数据-取费表'!s"&amp;$G$1)))</f>
        <v>2375.33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475066</v>
      </c>
      <c r="D19" s="204">
        <f ca="1">D9+D10</f>
        <v>2375.33</v>
      </c>
      <c r="E19" s="203">
        <f>'数据-取费表'!B31</f>
        <v>200</v>
      </c>
      <c r="F19" s="223"/>
      <c r="G19" s="1713"/>
    </row>
    <row r="20" spans="1:7" s="206" customFormat="1" ht="13.5" customHeight="1">
      <c r="A20" s="247" t="s">
        <v>1574</v>
      </c>
      <c r="B20" s="202" t="s">
        <v>1575</v>
      </c>
      <c r="C20" s="224">
        <f ca="1">ROUND((C5+C19)*F20,0)</f>
        <v>19003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32148</v>
      </c>
      <c r="D22" s="227">
        <f ca="1">C26</f>
        <v>2.9999999999999997E-4</v>
      </c>
      <c r="E22" s="228" t="s">
        <v>1579</v>
      </c>
      <c r="F22" s="229">
        <f ca="1">'数据-取费表'!B40</f>
        <v>3.3500000000000002E-2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15915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15915</v>
      </c>
      <c r="D24" s="230"/>
      <c r="E24" s="230"/>
      <c r="F24" s="231"/>
      <c r="G24" s="232" t="s">
        <v>1586</v>
      </c>
    </row>
    <row r="25" spans="1:7" s="206" customFormat="1" ht="24">
      <c r="A25" s="734" t="s">
        <v>1476</v>
      </c>
      <c r="B25" s="207" t="s">
        <v>1587</v>
      </c>
      <c r="C25" s="230">
        <f ca="1">ROUND(IF('数据-取费表'!B22&lt;=1,C20*F22*'数据-取费表'!B22/2,C20*(POWER((1+F22),'数据-取费表'!B22/2)-1)),0)</f>
        <v>318</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96914</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96914</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1186855</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7957356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7125990</v>
      </c>
      <c r="D34" s="209"/>
      <c r="E34" s="212"/>
      <c r="F34" s="249"/>
      <c r="G34" s="211"/>
    </row>
    <row r="35" spans="1:7" ht="13.5" customHeight="1">
      <c r="A35" s="734" t="s">
        <v>351</v>
      </c>
      <c r="B35" s="207" t="s">
        <v>1527</v>
      </c>
      <c r="C35" s="212">
        <f ca="1">ROUND(C34*F35,0)</f>
        <v>213780</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475066</v>
      </c>
      <c r="D37" s="209">
        <f ca="1">D19</f>
        <v>2375.33</v>
      </c>
      <c r="E37" s="241">
        <f>'数据-取费表'!B35</f>
        <v>200</v>
      </c>
      <c r="F37" s="251"/>
      <c r="G37" s="253"/>
    </row>
    <row r="38" spans="1:7" ht="13.5" customHeight="1">
      <c r="A38" s="734" t="s">
        <v>354</v>
      </c>
      <c r="B38" s="207" t="s">
        <v>1533</v>
      </c>
      <c r="C38" s="212">
        <f ca="1">ROUND(C34*F38,0)</f>
        <v>142520</v>
      </c>
      <c r="D38" s="212"/>
      <c r="E38" s="212"/>
      <c r="F38" s="251">
        <f>'数据-取费表'!B36</f>
        <v>0.02</v>
      </c>
      <c r="G38" s="211" t="s">
        <v>1528</v>
      </c>
    </row>
    <row r="39" spans="1:7" s="206" customFormat="1" ht="13.5" customHeight="1">
      <c r="A39" s="247" t="s">
        <v>1534</v>
      </c>
      <c r="B39" s="202" t="s">
        <v>1535</v>
      </c>
      <c r="C39" s="224">
        <f ca="1">ROUND(C33*F20,0)</f>
        <v>159147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135952</v>
      </c>
      <c r="D41" s="227">
        <f ca="1">C44</f>
        <v>2.9999999999999997E-4</v>
      </c>
      <c r="E41" s="228" t="s">
        <v>1539</v>
      </c>
      <c r="F41" s="229">
        <f ca="1">F22</f>
        <v>3.3500000000000002E-2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133286</v>
      </c>
      <c r="D42" s="230"/>
      <c r="E42" s="230"/>
      <c r="F42" s="231"/>
      <c r="G42" s="3374" t="s">
        <v>1591</v>
      </c>
    </row>
    <row r="43" spans="1:7" ht="13.5" customHeight="1">
      <c r="A43" s="734" t="s">
        <v>347</v>
      </c>
      <c r="B43" s="207" t="s">
        <v>1545</v>
      </c>
      <c r="C43" s="230">
        <f ca="1">ROUND(IF('数据-取费表'!B22&lt;=1,C39*F22*'数据-取费表'!B20/2,C39*(POWER((1+F22),'数据-取费表'!B20/2)-1)),0)</f>
        <v>2666</v>
      </c>
      <c r="D43" s="230"/>
      <c r="E43" s="230"/>
      <c r="F43" s="231"/>
      <c r="G43" s="3375"/>
    </row>
    <row r="44" spans="1:7" ht="13.5" customHeight="1">
      <c r="A44" s="734" t="s">
        <v>348</v>
      </c>
      <c r="B44" s="207" t="s">
        <v>1546</v>
      </c>
      <c r="C44" s="230">
        <f ca="1">ROUND(IF('数据-取费表'!B22&lt;=1,C40*F22*'数据-取费表'!B20/2,C40*(POWER((1+F22),'数据-取费表'!B20/2)-1)),4)</f>
        <v>2.9999999999999997E-4</v>
      </c>
      <c r="D44" s="230"/>
      <c r="E44" s="230"/>
      <c r="F44" s="231"/>
      <c r="G44" s="3376"/>
    </row>
    <row r="45" spans="1:7" s="206" customFormat="1" ht="13.5" customHeight="1">
      <c r="A45" s="247" t="s">
        <v>1547</v>
      </c>
      <c r="B45" s="236" t="s">
        <v>1513</v>
      </c>
      <c r="C45" s="237">
        <f ca="1">C46</f>
        <v>811650</v>
      </c>
      <c r="D45" s="227">
        <f ca="1">C47</f>
        <v>2E-3</v>
      </c>
      <c r="E45" s="228" t="s">
        <v>1539</v>
      </c>
      <c r="F45" s="238">
        <f ca="1">F27</f>
        <v>0.1</v>
      </c>
      <c r="G45" s="239" t="s">
        <v>1548</v>
      </c>
    </row>
    <row r="46" spans="1:7" s="206" customFormat="1" ht="13.5" customHeight="1">
      <c r="A46" s="734" t="s">
        <v>346</v>
      </c>
      <c r="B46" s="240" t="s">
        <v>1549</v>
      </c>
      <c r="C46" s="241">
        <f ca="1">ROUND((C33+C39)*F27,0)</f>
        <v>811650</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9795855</v>
      </c>
      <c r="D49" s="224"/>
      <c r="E49" s="224"/>
      <c r="F49" s="256"/>
      <c r="G49" s="226" t="s">
        <v>1554</v>
      </c>
    </row>
    <row r="50" spans="1:7" s="250" customFormat="1">
      <c r="A50" s="247" t="s">
        <v>1555</v>
      </c>
      <c r="B50" s="202" t="s">
        <v>1556</v>
      </c>
      <c r="C50" s="224"/>
      <c r="D50" s="224"/>
      <c r="E50" s="224"/>
      <c r="F50" s="256">
        <f>IF('数据-取费表'!B24=0,'数据-取费表'!N16,1)</f>
        <v>0.88</v>
      </c>
      <c r="G50" s="239"/>
    </row>
    <row r="51" spans="1:7" ht="16.5" customHeight="1">
      <c r="A51" s="247" t="s">
        <v>1558</v>
      </c>
      <c r="B51" s="202" t="s">
        <v>1593</v>
      </c>
      <c r="C51" s="224">
        <f ca="1">ROUND(C49*F50,0)</f>
        <v>8620352</v>
      </c>
      <c r="D51" s="224"/>
      <c r="E51" s="224"/>
      <c r="F51" s="256"/>
      <c r="G51" s="226" t="s">
        <v>1560</v>
      </c>
    </row>
    <row r="52" spans="1:7" s="200" customFormat="1" ht="16.5" thickBot="1">
      <c r="A52" s="257" t="s">
        <v>1561</v>
      </c>
      <c r="B52" s="258"/>
      <c r="C52" s="259">
        <f ca="1">C31+C51</f>
        <v>9807207</v>
      </c>
      <c r="D52" s="258"/>
      <c r="E52" s="258"/>
      <c r="F52" s="258"/>
      <c r="G52" s="260"/>
    </row>
    <row r="55" spans="1:7" ht="15">
      <c r="B55" s="262" t="s">
        <v>1562</v>
      </c>
      <c r="C55" s="263"/>
    </row>
    <row r="56" spans="1:7">
      <c r="B56" s="265" t="s">
        <v>802</v>
      </c>
      <c r="C56" s="267">
        <f ca="1">1-C57</f>
        <v>0.121</v>
      </c>
    </row>
    <row r="57" spans="1:7">
      <c r="B57" s="265" t="s">
        <v>803</v>
      </c>
      <c r="C57" s="266">
        <f ca="1">ROUND(C51/C52,3)</f>
        <v>0.879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6"/>
      <c r="F1" s="2566"/>
      <c r="G1" s="2447"/>
      <c r="H1" s="2566"/>
      <c r="I1" s="2566"/>
      <c r="J1" s="2566"/>
      <c r="K1" s="2567">
        <f>MATCH(C1,'数据-取费表'!A6:A16,0)+5</f>
        <v>7</v>
      </c>
    </row>
    <row r="2" spans="1:33" ht="18" customHeight="1">
      <c r="A2" s="193" t="s">
        <v>1462</v>
      </c>
      <c r="B2" s="196">
        <f ca="1">C32</f>
        <v>0</v>
      </c>
      <c r="C2" s="268" t="s">
        <v>1595</v>
      </c>
      <c r="D2" s="268"/>
      <c r="E2" s="2566"/>
      <c r="F2" s="2566"/>
      <c r="G2" s="2566"/>
      <c r="H2" s="2566"/>
      <c r="I2" s="2566"/>
      <c r="J2" s="2566"/>
      <c r="K2" s="2566"/>
    </row>
    <row r="3" spans="1:33" ht="18" customHeight="1" thickBot="1">
      <c r="A3" s="195" t="s">
        <v>1464</v>
      </c>
      <c r="B3" s="196">
        <f ca="1">ROUND(B2*10000/IF(C1="",'数据-汇总表'!E3,INDIRECT("'数据-取费表'!K"&amp;$K$1)),0)</f>
        <v>0</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2375.33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2375.33</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5"/>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7"/>
      <c r="I19" s="761"/>
      <c r="J19" s="761"/>
      <c r="K19" s="762"/>
    </row>
    <row r="20" spans="1:33" s="755" customFormat="1" ht="13.5" customHeight="1">
      <c r="A20" s="752" t="s">
        <v>361</v>
      </c>
      <c r="B20" s="753" t="s">
        <v>1627</v>
      </c>
      <c r="C20" s="21">
        <f ca="1">ROUND(D20*E20/10000,0)</f>
        <v>48</v>
      </c>
      <c r="D20" s="796">
        <f ca="1">IF(C1="",'数据-汇总表'!E6,IF(INDIRECT("'数据-取费表'!c"&amp;$K$1)="住宅",INDIRECT("'数据-取费表'!s"&amp;$K$1),INDIRECT("'数据-取费表'!k"&amp;$K$1)+INDIRECT("'数据-取费表'!s"&amp;$K$1)))</f>
        <v>2375.33</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3.3500000000000002E-2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（1）-（3）项×年利率×建设期÷2</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zoomScale="70" zoomScaleNormal="70" zoomScaleSheetLayoutView="70" workbookViewId="0">
      <selection activeCell="B3" sqref="B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673</v>
      </c>
      <c r="D1" s="1270" t="s">
        <v>43</v>
      </c>
      <c r="E1" s="1271" t="s">
        <v>678</v>
      </c>
      <c r="F1" s="999">
        <f ca="1">J53</f>
        <v>25.57</v>
      </c>
      <c r="G1" s="1285">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f ca="1">C40+J29+L46</f>
        <v>1460</v>
      </c>
      <c r="C2" s="1288" t="s">
        <v>805</v>
      </c>
      <c r="D2" s="1288"/>
      <c r="E2" s="1294"/>
      <c r="F2" s="1295"/>
      <c r="G2" s="2477"/>
      <c r="H2" s="2467"/>
      <c r="I2" s="2467"/>
      <c r="J2" s="2467"/>
      <c r="K2" s="2468"/>
      <c r="L2" s="2467"/>
      <c r="M2" s="2467"/>
    </row>
    <row r="3" spans="1:37" ht="18" customHeight="1" thickBot="1">
      <c r="A3" s="1296" t="s">
        <v>806</v>
      </c>
      <c r="B3" s="1297">
        <f ca="1">IF(ISERROR(B2*10000/F43),0,ROUND(B2*10000/F43,0))</f>
        <v>6147</v>
      </c>
      <c r="C3" s="1288" t="s">
        <v>807</v>
      </c>
      <c r="D3" s="1288"/>
      <c r="E3" s="1294"/>
      <c r="F3" s="1295"/>
      <c r="G3" s="2477"/>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110</v>
      </c>
      <c r="D5" s="1272" t="s">
        <v>693</v>
      </c>
      <c r="E5" s="1008"/>
      <c r="F5" s="1009"/>
      <c r="G5" s="1291"/>
      <c r="H5" s="291">
        <v>1</v>
      </c>
      <c r="I5" s="292" t="s">
        <v>692</v>
      </c>
      <c r="J5" s="1007">
        <f ca="1">J6+J10+J12</f>
        <v>156</v>
      </c>
      <c r="K5" s="1272" t="s">
        <v>693</v>
      </c>
      <c r="L5" s="1008"/>
      <c r="M5" s="1009"/>
    </row>
    <row r="6" spans="1:37" ht="18" customHeight="1">
      <c r="A6" s="1006" t="s">
        <v>398</v>
      </c>
      <c r="B6" s="3379" t="s">
        <v>694</v>
      </c>
      <c r="C6" s="1011">
        <f ca="1">ROUND(F6*F8*F7*(1-F9)/10000,0)</f>
        <v>110</v>
      </c>
      <c r="D6" s="147" t="s">
        <v>2109</v>
      </c>
      <c r="E6" s="294" t="s">
        <v>696</v>
      </c>
      <c r="F6" s="295">
        <f ca="1">INDIRECT("'数据-取费表'!u"&amp;$G$1)</f>
        <v>1.27</v>
      </c>
      <c r="G6" s="1291"/>
      <c r="H6" s="1006" t="s">
        <v>398</v>
      </c>
      <c r="I6" s="3379" t="s">
        <v>694</v>
      </c>
      <c r="J6" s="293">
        <f ca="1">ROUND(M6*M8*M7*(1-M9)/10000,0)</f>
        <v>156</v>
      </c>
      <c r="K6" s="147" t="s">
        <v>2108</v>
      </c>
      <c r="L6" s="294" t="s">
        <v>696</v>
      </c>
      <c r="M6" s="295">
        <f ca="1">INDIRECT("'数据-取费表'!z"&amp;$G$1)</f>
        <v>2</v>
      </c>
    </row>
    <row r="7" spans="1:37" ht="18" customHeight="1">
      <c r="A7" s="1010"/>
      <c r="B7" s="3380"/>
      <c r="C7" s="1012"/>
      <c r="D7" s="299"/>
      <c r="E7" s="1013" t="s">
        <v>697</v>
      </c>
      <c r="F7" s="295">
        <f ca="1">IF(INDIRECT("'数据-取费表'!ah"&amp;$G$1)="",INDIRECT("'数据-取费表'!k"&amp;$G$1),INDIRECT("'数据-取费表'!ah"&amp;$G$1))</f>
        <v>2375.33</v>
      </c>
      <c r="G7" s="1291"/>
      <c r="H7" s="296"/>
      <c r="I7" s="3380"/>
      <c r="J7" s="298"/>
      <c r="K7" s="299"/>
      <c r="L7" s="294" t="s">
        <v>697</v>
      </c>
      <c r="M7" s="295">
        <f ca="1">F7</f>
        <v>2375.33</v>
      </c>
    </row>
    <row r="8" spans="1:37" ht="18" customHeight="1">
      <c r="A8" s="296"/>
      <c r="B8" s="3380"/>
      <c r="C8" s="298"/>
      <c r="D8" s="299"/>
      <c r="E8" s="294" t="s">
        <v>698</v>
      </c>
      <c r="F8" s="295">
        <f ca="1">INDIRECT("'数据-取费表'!ai"&amp;$G$1)</f>
        <v>365</v>
      </c>
      <c r="G8" s="1291"/>
      <c r="H8" s="296"/>
      <c r="I8" s="3380"/>
      <c r="J8" s="298"/>
      <c r="K8" s="299"/>
      <c r="L8" s="294" t="s">
        <v>698</v>
      </c>
      <c r="M8" s="295">
        <f ca="1">INDIRECT("'数据-取费表'!ai"&amp;$G$1)</f>
        <v>365</v>
      </c>
    </row>
    <row r="9" spans="1:37" ht="18" customHeight="1">
      <c r="A9" s="296"/>
      <c r="B9" s="3381"/>
      <c r="C9" s="298"/>
      <c r="D9" s="299"/>
      <c r="E9" s="294" t="s">
        <v>699</v>
      </c>
      <c r="F9" s="304">
        <f ca="1">INDIRECT("'数据-取费表'!w"&amp;$G$1)</f>
        <v>0</v>
      </c>
      <c r="G9" s="1291"/>
      <c r="H9" s="296"/>
      <c r="I9" s="3381"/>
      <c r="J9" s="298"/>
      <c r="K9" s="299"/>
      <c r="L9" s="305" t="s">
        <v>699</v>
      </c>
      <c r="M9" s="306">
        <f ca="1">INDIRECT("'数据-取费表'!ab"&amp;$G$1)</f>
        <v>0.1</v>
      </c>
    </row>
    <row r="10" spans="1:37" ht="18" customHeight="1">
      <c r="A10" s="1006" t="s">
        <v>402</v>
      </c>
      <c r="B10" s="1273" t="s">
        <v>700</v>
      </c>
      <c r="C10" s="308">
        <f ca="1">ROUND(IF(F10="押一",C6/12*F11,IF(F10="押二",C6/12*2*F11,IF(F10="押三",C6/12*3*F11,C11*F11))),0)</f>
        <v>0</v>
      </c>
      <c r="D10" s="150" t="s">
        <v>2117</v>
      </c>
      <c r="E10" s="305" t="s">
        <v>701</v>
      </c>
      <c r="F10" s="1053" t="s">
        <v>3393</v>
      </c>
      <c r="G10" s="1291"/>
      <c r="H10" s="1006" t="s">
        <v>402</v>
      </c>
      <c r="I10" s="1273" t="s">
        <v>700</v>
      </c>
      <c r="J10" s="293">
        <f ca="1">ROUND(IF(M10="押一",J6/12*M11,IF(M10="押二",J6/12*2*M11,IF(M10="押三",J6/12*3*M11,J11*M11))),0)</f>
        <v>0</v>
      </c>
      <c r="K10" s="150" t="s">
        <v>2116</v>
      </c>
      <c r="L10" s="305" t="s">
        <v>701</v>
      </c>
      <c r="M10" s="1053" t="s">
        <v>3393</v>
      </c>
    </row>
    <row r="11" spans="1:37" ht="18" customHeight="1">
      <c r="A11" s="300"/>
      <c r="B11" s="1274" t="s">
        <v>679</v>
      </c>
      <c r="C11" s="905"/>
      <c r="D11" s="1275"/>
      <c r="E11" s="305" t="s">
        <v>702</v>
      </c>
      <c r="F11" s="306">
        <f ca="1">'数据-取费表'!B39</f>
        <v>1.4999999999999999E-2</v>
      </c>
      <c r="G11" s="1291"/>
      <c r="H11" s="1014"/>
      <c r="I11" s="1274" t="s">
        <v>679</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862</v>
      </c>
      <c r="D13" s="1018" t="s">
        <v>705</v>
      </c>
      <c r="E13" s="1018" t="s">
        <v>706</v>
      </c>
      <c r="F13" s="1019">
        <f ca="1">INDIRECT("'数据-取费表'!y"&amp;$G$1)</f>
        <v>0.88</v>
      </c>
      <c r="G13" s="1291"/>
      <c r="H13" s="1016">
        <v>2</v>
      </c>
      <c r="I13" s="1017" t="s">
        <v>704</v>
      </c>
      <c r="J13" s="1005">
        <f ca="1">ROUND(J14*J15,0)</f>
        <v>627</v>
      </c>
      <c r="K13" s="1024" t="s">
        <v>705</v>
      </c>
      <c r="L13" s="1298"/>
      <c r="M13" s="1299"/>
    </row>
    <row r="14" spans="1:37" ht="18" customHeight="1">
      <c r="A14" s="928" t="s">
        <v>397</v>
      </c>
      <c r="B14" s="294" t="s">
        <v>707</v>
      </c>
      <c r="C14" s="310">
        <f ca="1">INDIRECT("'数据-取费表'!m"&amp;$G$1)+INDIRECT("'数据-取费表'!t"&amp;$G$1)</f>
        <v>713</v>
      </c>
      <c r="D14" s="1256" t="s">
        <v>708</v>
      </c>
      <c r="E14" s="1254"/>
      <c r="F14" s="311"/>
      <c r="G14" s="1291"/>
      <c r="H14" s="928" t="s">
        <v>398</v>
      </c>
      <c r="I14" s="294" t="s">
        <v>709</v>
      </c>
      <c r="J14" s="21">
        <f ca="1">C29</f>
        <v>979</v>
      </c>
      <c r="K14" s="12"/>
      <c r="L14" s="759"/>
      <c r="M14" s="760"/>
    </row>
    <row r="15" spans="1:37" s="1303" customFormat="1" ht="18" customHeight="1" thickBot="1">
      <c r="A15" s="928" t="s">
        <v>399</v>
      </c>
      <c r="B15" s="294" t="s">
        <v>710</v>
      </c>
      <c r="C15" s="21">
        <f ca="1">ROUND(C14*F15,0)</f>
        <v>21</v>
      </c>
      <c r="D15" s="312" t="s">
        <v>711</v>
      </c>
      <c r="E15" s="312" t="s">
        <v>712</v>
      </c>
      <c r="F15" s="313">
        <f>'数据-取费表'!B33</f>
        <v>0.03</v>
      </c>
      <c r="G15" s="1302"/>
      <c r="H15" s="1026" t="s">
        <v>402</v>
      </c>
      <c r="I15" s="1027" t="s">
        <v>706</v>
      </c>
      <c r="J15" s="1036">
        <f ca="1">INDIRECT("'数据-取费表'!ad"&amp;$G$1)</f>
        <v>0.64</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33</v>
      </c>
      <c r="K16" s="1024" t="s">
        <v>715</v>
      </c>
      <c r="L16" s="1025"/>
      <c r="M16" s="1009"/>
    </row>
    <row r="17" spans="1:37" s="1303" customFormat="1" ht="18" customHeight="1">
      <c r="A17" s="928" t="s">
        <v>681</v>
      </c>
      <c r="B17" s="294" t="s">
        <v>716</v>
      </c>
      <c r="C17" s="21">
        <f ca="1">ROUND(F17*(F43+INDIRECT("'数据-取费表'!S"&amp;$G$1))/10000,0)</f>
        <v>48</v>
      </c>
      <c r="D17" s="294" t="s">
        <v>717</v>
      </c>
      <c r="E17" s="294" t="s">
        <v>718</v>
      </c>
      <c r="F17" s="23">
        <f>'数据-取费表'!B35</f>
        <v>200</v>
      </c>
      <c r="G17" s="1302"/>
      <c r="H17" s="928" t="s">
        <v>398</v>
      </c>
      <c r="I17" s="294" t="s">
        <v>719</v>
      </c>
      <c r="J17" s="2139">
        <f ca="1">ROUND(IF(AND(项目基本情况!B11="自然人",项目基本情况!B10="北京市"),J6*M17/(1+'数据-取费表'!C42),J18+J19+J20),2)</f>
        <v>26</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14</v>
      </c>
      <c r="D18" s="294" t="s">
        <v>711</v>
      </c>
      <c r="E18" s="294" t="s">
        <v>712</v>
      </c>
      <c r="F18" s="314">
        <f>'数据-取费表'!B36</f>
        <v>0.02</v>
      </c>
      <c r="G18" s="1302"/>
      <c r="H18" s="928" t="s">
        <v>397</v>
      </c>
      <c r="I18" s="294" t="s">
        <v>723</v>
      </c>
      <c r="J18" s="21">
        <f ca="1">ROUND(J6*M18/(1+'数据-取费表'!C42),2)</f>
        <v>8.17</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796</v>
      </c>
      <c r="D19" s="123" t="s">
        <v>726</v>
      </c>
      <c r="E19" s="1268"/>
      <c r="F19" s="23"/>
      <c r="G19" s="1291"/>
      <c r="H19" s="928" t="s">
        <v>399</v>
      </c>
      <c r="I19" s="294" t="s">
        <v>727</v>
      </c>
      <c r="J19" s="21">
        <f ca="1">IF(K19="按租金收入计税",ROUND(J6*M19/(1+'数据-取费表'!C42),2),ROUND(C29*M19*0.7,2))</f>
        <v>17.829999999999998</v>
      </c>
      <c r="K19" s="1277" t="s">
        <v>3336</v>
      </c>
      <c r="L19" s="294" t="s">
        <v>712</v>
      </c>
      <c r="M19" s="314">
        <f>IF(K19="按租金收入计税",'数据-取费表'!B51,'数据-取费表'!B50)</f>
        <v>0.12</v>
      </c>
    </row>
    <row r="20" spans="1:37" s="1303" customFormat="1" ht="18" customHeight="1">
      <c r="A20" s="928" t="s">
        <v>402</v>
      </c>
      <c r="B20" s="294" t="s">
        <v>728</v>
      </c>
      <c r="C20" s="21">
        <f ca="1">ROUND(C19*F20,0)</f>
        <v>16</v>
      </c>
      <c r="D20" s="315" t="s">
        <v>729</v>
      </c>
      <c r="E20" s="294" t="s">
        <v>712</v>
      </c>
      <c r="F20" s="314">
        <f>'数据-取费表'!B37</f>
        <v>0.02</v>
      </c>
      <c r="G20" s="1302"/>
      <c r="H20" s="928" t="s">
        <v>680</v>
      </c>
      <c r="I20" s="147" t="s">
        <v>730</v>
      </c>
      <c r="J20" s="22">
        <f ca="1">ROUND(M20*M21/10000,2)</f>
        <v>0</v>
      </c>
      <c r="K20" s="316" t="s">
        <v>731</v>
      </c>
      <c r="L20" s="294" t="s">
        <v>732</v>
      </c>
      <c r="M20" s="317">
        <f>'数据-取费表'!B52</f>
        <v>18</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8"/>
      <c r="F22" s="23"/>
      <c r="G22" s="1291"/>
      <c r="H22" s="928" t="s">
        <v>402</v>
      </c>
      <c r="I22" s="294" t="s">
        <v>738</v>
      </c>
      <c r="J22" s="21">
        <f ca="1">ROUND(J14*M22,2)</f>
        <v>4.9000000000000004</v>
      </c>
      <c r="K22" s="1255" t="s">
        <v>739</v>
      </c>
      <c r="L22" s="294" t="s">
        <v>712</v>
      </c>
      <c r="M22" s="320">
        <f ca="1">INDIRECT("'数据-取费表'!Ak"&amp;$G$1)</f>
        <v>5.0000000000000001E-3</v>
      </c>
    </row>
    <row r="23" spans="1:37" s="1303" customFormat="1" ht="18" customHeight="1">
      <c r="A23" s="928" t="s">
        <v>397</v>
      </c>
      <c r="B23" s="294" t="s">
        <v>740</v>
      </c>
      <c r="C23" s="21">
        <f ca="1">IF('数据-取费表'!B22&lt;=1,ROUND(C19*F24*F23/2,0)+ROUND(C20*F24*F23/2,0),ROUND(C19*(POWER((1+F24),F23/2)-1),0)+ROUND(C20*(POWER((1+F24),F23/2)-1),0))</f>
        <v>13</v>
      </c>
      <c r="D23" s="138" t="str">
        <f>IF(F23&lt;=1,"(建造成本+管理费用)×利率×(建设周期÷2)","(建造成本+管理费用)×((1+利率)^(建设周期÷2)-1)")</f>
        <v>(建造成本+管理费用)×利率×(建设周期÷2)</v>
      </c>
      <c r="E23" s="294" t="s">
        <v>741</v>
      </c>
      <c r="F23" s="317">
        <f>'数据-取费表'!B20</f>
        <v>1</v>
      </c>
      <c r="G23" s="1302"/>
      <c r="H23" s="928" t="s">
        <v>437</v>
      </c>
      <c r="I23" s="294" t="s">
        <v>742</v>
      </c>
      <c r="J23" s="21">
        <f ca="1">ROUND(J13*M23,2)</f>
        <v>0.63</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3.3500000000000002E-2</v>
      </c>
      <c r="G24" s="1302"/>
      <c r="H24" s="1026" t="s">
        <v>684</v>
      </c>
      <c r="I24" s="1027" t="s">
        <v>728</v>
      </c>
      <c r="J24" s="1028">
        <f ca="1">ROUND(J5*M24,2)</f>
        <v>1.56</v>
      </c>
      <c r="K24" s="1029" t="s">
        <v>748</v>
      </c>
      <c r="L24" s="1027" t="s">
        <v>744</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123</v>
      </c>
      <c r="K25" s="1032" t="s">
        <v>753</v>
      </c>
      <c r="L25" s="1033"/>
      <c r="M25" s="1034"/>
    </row>
    <row r="26" spans="1:37">
      <c r="A26" s="928" t="s">
        <v>397</v>
      </c>
      <c r="B26" s="294" t="s">
        <v>754</v>
      </c>
      <c r="C26" s="21">
        <f ca="1">ROUND((C19+C20)*F26,0)</f>
        <v>81</v>
      </c>
      <c r="D26" s="315" t="s">
        <v>755</v>
      </c>
      <c r="E26" s="305" t="s">
        <v>756</v>
      </c>
      <c r="F26" s="304">
        <f ca="1">INDIRECT("'数据-取费表'!q"&amp;$G$1)</f>
        <v>0.1</v>
      </c>
      <c r="G26" s="1291"/>
      <c r="H26" s="291" t="s">
        <v>395</v>
      </c>
      <c r="I26" s="292" t="s">
        <v>757</v>
      </c>
      <c r="J26" s="293">
        <f ca="1">IF(J5&lt;&gt;0,ROUND(J25*(1-((1+M28)/(1+M26))^M27)/(M26-M28),0),0)</f>
        <v>1268</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1"/>
      <c r="H27" s="296"/>
      <c r="I27" s="297"/>
      <c r="J27" s="298"/>
      <c r="K27" s="323" t="s">
        <v>762</v>
      </c>
      <c r="L27" s="294" t="s">
        <v>763</v>
      </c>
      <c r="M27" s="324">
        <f ca="1">INDIRECT("'数据-取费表'!ag"&amp;$G$1)</f>
        <v>13.76</v>
      </c>
    </row>
    <row r="28" spans="1:37" s="1303" customFormat="1" ht="18" customHeight="1">
      <c r="A28" s="928"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1.4999999999999999E-2</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979</v>
      </c>
      <c r="D29" s="1029"/>
      <c r="E29" s="1027"/>
      <c r="F29" s="1030"/>
      <c r="G29" s="1302"/>
      <c r="H29" s="325" t="s">
        <v>396</v>
      </c>
      <c r="I29" s="326" t="s">
        <v>768</v>
      </c>
      <c r="J29" s="327">
        <f ca="1">ROUND(J26/(1+F40)^F41,0)</f>
        <v>674</v>
      </c>
      <c r="K29" s="328" t="s">
        <v>769</v>
      </c>
      <c r="L29" s="329"/>
      <c r="M29" s="330">
        <f ca="1">INDIRECT("'数据-取费表'!k"&amp;$G$1)</f>
        <v>2375.33</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25</v>
      </c>
      <c r="D30" s="1024" t="s">
        <v>715</v>
      </c>
      <c r="E30" s="1025"/>
      <c r="F30" s="1009"/>
      <c r="G30" s="1291"/>
      <c r="H30" s="2469"/>
      <c r="I30" s="1304"/>
      <c r="J30" s="1305"/>
      <c r="K30" s="121"/>
      <c r="L30" s="2470"/>
      <c r="M30" s="2471"/>
    </row>
    <row r="31" spans="1:37" ht="18" customHeight="1">
      <c r="A31" s="928" t="s">
        <v>398</v>
      </c>
      <c r="B31" s="294" t="s">
        <v>719</v>
      </c>
      <c r="C31" s="2139">
        <f ca="1">ROUND(IF(AND(项目基本情况!B11="自然人",项目基本情况!B10="北京市"),C6*F31/(1+'数据-取费表'!C42),C32+C33+C34),2)</f>
        <v>18.329999999999998</v>
      </c>
      <c r="D31" s="1256" t="s">
        <v>720</v>
      </c>
      <c r="E31" s="1255" t="s">
        <v>770</v>
      </c>
      <c r="F31" s="2138" t="str">
        <f>IF(项目基本情况!B11="企业","——",IF(M47="住宅",IF(F6*F7*F8/12/(1+'数据-取费表'!F30)&gt;100000,4%,2.5%),IF(F6*F7*F8/12/(1+'数据-取费表'!F30)&gt;100000,12%,7%)))</f>
        <v>——</v>
      </c>
      <c r="G31" s="1291"/>
      <c r="H31" s="2568" t="s">
        <v>2306</v>
      </c>
      <c r="I31" s="1304"/>
      <c r="J31" s="1305"/>
      <c r="K31" s="121"/>
      <c r="L31" s="2470"/>
      <c r="M31" s="2471"/>
    </row>
    <row r="32" spans="1:37" ht="18" customHeight="1">
      <c r="A32" s="928" t="s">
        <v>397</v>
      </c>
      <c r="B32" s="294" t="s">
        <v>723</v>
      </c>
      <c r="C32" s="21">
        <f ca="1">IF(项目基本情况!B11="自然人","——",ROUND(C6*F32/(1+'数据-取费表'!C42),2))</f>
        <v>5.76</v>
      </c>
      <c r="D32" s="1255" t="s">
        <v>724</v>
      </c>
      <c r="E32" s="294" t="s">
        <v>712</v>
      </c>
      <c r="F32" s="322">
        <f>'数据-取费表'!B41</f>
        <v>5.5000000000000007E-2</v>
      </c>
      <c r="G32" s="1291"/>
      <c r="H32" s="2469"/>
      <c r="I32" s="1304"/>
      <c r="J32" s="1305"/>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12.57</v>
      </c>
      <c r="D33" s="1277" t="s">
        <v>3336</v>
      </c>
      <c r="E33" s="294" t="s">
        <v>712</v>
      </c>
      <c r="F33" s="314">
        <f>IF(D33="按票据","——",IF(D33="按租金收入计税",'数据-取费表'!B51,'数据-取费表'!B50))</f>
        <v>0.12</v>
      </c>
      <c r="G33" s="1291"/>
      <c r="H33" s="2472"/>
      <c r="I33" s="1304"/>
      <c r="J33" s="1305"/>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18</v>
      </c>
      <c r="G34" s="1291"/>
      <c r="H34" s="2469"/>
      <c r="I34" s="1304"/>
      <c r="J34" s="1305"/>
      <c r="K34" s="2474"/>
      <c r="L34" s="2475"/>
      <c r="M34" s="2475"/>
    </row>
    <row r="35" spans="1:18" ht="18" customHeight="1">
      <c r="A35" s="1040"/>
      <c r="B35" s="1038"/>
      <c r="C35" s="26"/>
      <c r="D35" s="319"/>
      <c r="E35" s="294" t="s">
        <v>736</v>
      </c>
      <c r="F35" s="295">
        <f ca="1">INDIRECT("'数据-取费表'!r"&amp;$G$1)</f>
        <v>0</v>
      </c>
      <c r="G35" s="1291"/>
      <c r="H35" s="2469"/>
      <c r="I35" s="1304"/>
      <c r="J35" s="1305"/>
      <c r="K35" s="2473"/>
      <c r="L35" s="2472"/>
      <c r="M35" s="2472"/>
    </row>
    <row r="36" spans="1:18" ht="18" customHeight="1">
      <c r="A36" s="1039" t="s">
        <v>402</v>
      </c>
      <c r="B36" s="294" t="s">
        <v>738</v>
      </c>
      <c r="C36" s="21">
        <f ca="1">ROUND(C29*F36,2)</f>
        <v>4.9000000000000004</v>
      </c>
      <c r="D36" s="1255" t="s">
        <v>771</v>
      </c>
      <c r="E36" s="294" t="s">
        <v>712</v>
      </c>
      <c r="F36" s="320">
        <f ca="1">INDIRECT("'数据-取费表'!Ak"&amp;$G$1)</f>
        <v>5.0000000000000001E-3</v>
      </c>
      <c r="G36" s="1291"/>
      <c r="H36" s="2472"/>
      <c r="I36" s="1304"/>
      <c r="J36" s="1305"/>
      <c r="K36" s="2330"/>
      <c r="L36" s="2472"/>
      <c r="M36" s="2472"/>
    </row>
    <row r="37" spans="1:18" ht="18" customHeight="1">
      <c r="A37" s="928" t="s">
        <v>437</v>
      </c>
      <c r="B37" s="294" t="s">
        <v>742</v>
      </c>
      <c r="C37" s="21">
        <f ca="1">ROUND(C13*F37,2)</f>
        <v>0.86</v>
      </c>
      <c r="D37" s="1255" t="s">
        <v>743</v>
      </c>
      <c r="E37" s="294" t="s">
        <v>744</v>
      </c>
      <c r="F37" s="321">
        <f ca="1">INDIRECT("'数据-取费表'!Al"&amp;$G$1)</f>
        <v>1E-3</v>
      </c>
      <c r="G37" s="1291"/>
      <c r="H37" s="2472"/>
      <c r="I37" s="1304"/>
      <c r="J37" s="1305"/>
      <c r="K37" s="2330"/>
      <c r="L37" s="2472"/>
      <c r="M37" s="2472"/>
    </row>
    <row r="38" spans="1:18" ht="18" customHeight="1" thickBot="1">
      <c r="A38" s="1026" t="s">
        <v>684</v>
      </c>
      <c r="B38" s="1027" t="s">
        <v>728</v>
      </c>
      <c r="C38" s="1028">
        <f ca="1">ROUND(C5*F38,2)</f>
        <v>1.1000000000000001</v>
      </c>
      <c r="D38" s="1029" t="s">
        <v>748</v>
      </c>
      <c r="E38" s="1027" t="s">
        <v>744</v>
      </c>
      <c r="F38" s="1023">
        <f ca="1">INDIRECT("'数据-取费表'!Am"&amp;$G$1)</f>
        <v>0.01</v>
      </c>
      <c r="G38" s="1291"/>
      <c r="H38" s="2472"/>
      <c r="I38" s="1304"/>
      <c r="J38" s="1305"/>
      <c r="K38" s="2470"/>
      <c r="L38" s="2472"/>
      <c r="M38" s="2472"/>
    </row>
    <row r="39" spans="1:18" ht="24.6" customHeight="1" thickTop="1">
      <c r="A39" s="1016" t="s">
        <v>394</v>
      </c>
      <c r="B39" s="1031" t="s">
        <v>772</v>
      </c>
      <c r="C39" s="302">
        <f ca="1">C5-C30</f>
        <v>85</v>
      </c>
      <c r="D39" s="1032" t="s">
        <v>773</v>
      </c>
      <c r="E39" s="1033"/>
      <c r="F39" s="1034"/>
      <c r="G39" s="1291"/>
      <c r="H39" s="2472"/>
      <c r="I39" s="1304">
        <f ca="1">C39/C5</f>
        <v>0.77272727272727271</v>
      </c>
      <c r="J39" s="1305"/>
      <c r="K39" s="2470"/>
      <c r="L39" s="2472"/>
      <c r="M39" s="2472"/>
    </row>
    <row r="40" spans="1:18" ht="18" customHeight="1">
      <c r="A40" s="291" t="s">
        <v>395</v>
      </c>
      <c r="B40" s="292" t="s">
        <v>774</v>
      </c>
      <c r="C40" s="293">
        <f ca="1">ROUND(C39*(1-((1+F42)/(1+F40))^F41)/(F40-F42),0)</f>
        <v>724</v>
      </c>
      <c r="D40" s="316" t="s">
        <v>758</v>
      </c>
      <c r="E40" s="294" t="s">
        <v>759</v>
      </c>
      <c r="F40" s="304">
        <f ca="1">INDIRECT("'数据-取费表'!I"&amp;$G$1)</f>
        <v>5.5E-2</v>
      </c>
      <c r="G40" s="1291"/>
      <c r="H40" s="1365"/>
      <c r="I40" s="1304"/>
      <c r="J40" s="1305"/>
      <c r="K40" s="2470"/>
      <c r="L40" s="1365"/>
      <c r="M40" s="1365"/>
    </row>
    <row r="41" spans="1:18" ht="18" customHeight="1">
      <c r="A41" s="296"/>
      <c r="B41" s="297"/>
      <c r="C41" s="298"/>
      <c r="D41" s="323" t="s">
        <v>775</v>
      </c>
      <c r="E41" s="294" t="s">
        <v>763</v>
      </c>
      <c r="F41" s="324">
        <f ca="1">IF(INDIRECT("'数据-取费表'!af"&amp;$G$1)=0,INDIRECT("'数据-取费表'!ae"&amp;$G$1),INDIRECT("'数据-取费表'!af"&amp;$G$1))</f>
        <v>11.81</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f ca="1">ROUND(C40*10000/F43,0)</f>
        <v>3048</v>
      </c>
      <c r="D43" s="328" t="s">
        <v>777</v>
      </c>
      <c r="E43" s="329" t="s">
        <v>778</v>
      </c>
      <c r="F43" s="330">
        <f ca="1">INDIRECT("'数据-取费表'!k"&amp;$G$1)</f>
        <v>2375.33</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6" t="s">
        <v>808</v>
      </c>
      <c r="P45" s="1365"/>
      <c r="Q45" s="1365"/>
      <c r="R45" s="1365"/>
    </row>
    <row r="46" spans="1:18" s="1291" customFormat="1" ht="13.5" thickBot="1">
      <c r="A46" s="1310" t="s">
        <v>809</v>
      </c>
      <c r="C46" s="1311">
        <f ca="1">C68-C40</f>
        <v>-775</v>
      </c>
      <c r="D46" s="1312" t="str">
        <f>C2</f>
        <v>万元</v>
      </c>
      <c r="E46" s="1306"/>
      <c r="F46" s="1306"/>
      <c r="I46" s="1313" t="s">
        <v>810</v>
      </c>
      <c r="J46" s="1314"/>
      <c r="K46" s="1315"/>
      <c r="L46" s="1316">
        <f ca="1">IF(M47="住宅",0,IF(L48&gt;J51,L60,J60))</f>
        <v>62</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t="s">
        <v>3394</v>
      </c>
      <c r="K47" s="1322" t="s">
        <v>816</v>
      </c>
      <c r="L47" s="1323">
        <f ca="1">INDIRECT("'数据-取费表'!d"&amp;$G$1)</f>
        <v>40</v>
      </c>
      <c r="M47" s="1287" t="str">
        <f>IF(ISNUMBER(FIND("住宅",C1)),"住宅","非住宅")</f>
        <v>非住宅</v>
      </c>
      <c r="O47" s="1324" t="s">
        <v>403</v>
      </c>
      <c r="P47" s="1325" t="s">
        <v>817</v>
      </c>
      <c r="Q47" s="1326">
        <f ca="1">C40+J29</f>
        <v>1398</v>
      </c>
      <c r="R47" s="1326" t="s">
        <v>818</v>
      </c>
    </row>
    <row r="48" spans="1:18" s="1291" customFormat="1" ht="28.5" thickBot="1">
      <c r="A48" s="1047" t="s">
        <v>438</v>
      </c>
      <c r="B48" s="292" t="s">
        <v>692</v>
      </c>
      <c r="C48" s="1267">
        <f ca="1">C49+C53+C55</f>
        <v>0</v>
      </c>
      <c r="D48" s="1049"/>
      <c r="E48" s="1050"/>
      <c r="F48" s="908"/>
      <c r="G48" s="681"/>
      <c r="H48" s="682"/>
      <c r="I48" s="1327" t="s">
        <v>819</v>
      </c>
      <c r="J48" s="1328" t="s">
        <v>3395</v>
      </c>
      <c r="K48" s="1329" t="s">
        <v>820</v>
      </c>
      <c r="L48" s="1330">
        <f ca="1">INDIRECT("'数据-取费表'!f"&amp;$G$1)</f>
        <v>25.57</v>
      </c>
      <c r="O48" s="1324" t="s">
        <v>404</v>
      </c>
      <c r="P48" s="1325" t="s">
        <v>821</v>
      </c>
      <c r="Q48" s="1326">
        <f ca="1">J60</f>
        <v>62</v>
      </c>
      <c r="R48" s="1326" t="s">
        <v>822</v>
      </c>
    </row>
    <row r="49" spans="1:18" s="1291" customFormat="1" ht="13.5" thickBot="1">
      <c r="A49" s="921" t="s">
        <v>439</v>
      </c>
      <c r="B49" s="1278" t="s">
        <v>779</v>
      </c>
      <c r="C49" s="1051">
        <f ca="1">ROUND(F49*F51*F50*(1-F52)/10000,0)</f>
        <v>0</v>
      </c>
      <c r="D49" s="992" t="s">
        <v>2110</v>
      </c>
      <c r="E49" s="1279" t="s">
        <v>780</v>
      </c>
      <c r="F49" s="997"/>
      <c r="H49" s="682"/>
      <c r="I49" s="1327" t="s">
        <v>823</v>
      </c>
      <c r="J49" s="1331">
        <v>1998</v>
      </c>
      <c r="K49" s="1329" t="s">
        <v>824</v>
      </c>
      <c r="L49" s="1332"/>
      <c r="O49" s="1333" t="s">
        <v>405</v>
      </c>
      <c r="P49" s="1325" t="s">
        <v>825</v>
      </c>
      <c r="Q49" s="1326">
        <f ca="1">C29</f>
        <v>979</v>
      </c>
      <c r="R49" s="1326" t="s">
        <v>818</v>
      </c>
    </row>
    <row r="50" spans="1:18" s="1291" customFormat="1" ht="13.5" thickBot="1">
      <c r="A50" s="922"/>
      <c r="B50" s="925"/>
      <c r="C50" s="1055"/>
      <c r="D50" s="899"/>
      <c r="E50" s="993" t="s">
        <v>697</v>
      </c>
      <c r="F50" s="994">
        <f ca="1">F7</f>
        <v>2375.33</v>
      </c>
      <c r="H50" s="682"/>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3"/>
      <c r="B51" s="925"/>
      <c r="C51" s="926"/>
      <c r="D51" s="899"/>
      <c r="E51" s="927" t="s">
        <v>698</v>
      </c>
      <c r="F51" s="295">
        <f ca="1">F8</f>
        <v>365</v>
      </c>
      <c r="I51" s="1337" t="s">
        <v>829</v>
      </c>
      <c r="J51" s="1330">
        <f>IF(J49="",J50,J49+J50-YEAR('数据-取费表'!B2))</f>
        <v>34</v>
      </c>
      <c r="K51" s="1338" t="s">
        <v>830</v>
      </c>
      <c r="L51" s="1339">
        <f ca="1">ROUND(-PV(INDIRECT("'数据-取费表'!h"&amp;$G$1),J51,(C39-C13*C76),0),0)</f>
        <v>399</v>
      </c>
      <c r="M51" s="1340"/>
      <c r="O51" s="1333" t="s">
        <v>407</v>
      </c>
      <c r="P51" s="1325" t="s">
        <v>831</v>
      </c>
      <c r="Q51" s="1336">
        <f>J52</f>
        <v>7.4999999999999997E-2</v>
      </c>
      <c r="R51" s="1326"/>
    </row>
    <row r="52" spans="1:18" s="1291" customFormat="1" ht="13.5" thickBot="1">
      <c r="A52" s="923"/>
      <c r="B52" s="925"/>
      <c r="C52" s="926"/>
      <c r="D52" s="899"/>
      <c r="E52" s="927" t="s">
        <v>699</v>
      </c>
      <c r="F52" s="991"/>
      <c r="I52" s="1341" t="s">
        <v>832</v>
      </c>
      <c r="J52" s="1342">
        <v>7.4999999999999997E-2</v>
      </c>
      <c r="K52" s="1341" t="s">
        <v>833</v>
      </c>
      <c r="L52" s="1342"/>
      <c r="O52" s="1333" t="s">
        <v>408</v>
      </c>
      <c r="P52" s="1325" t="s">
        <v>834</v>
      </c>
      <c r="Q52" s="1326">
        <f ca="1">J53</f>
        <v>25.57</v>
      </c>
      <c r="R52" s="1326" t="s">
        <v>835</v>
      </c>
    </row>
    <row r="53" spans="1:18" s="1291" customFormat="1" ht="24.75" thickBot="1">
      <c r="A53" s="1079" t="s">
        <v>440</v>
      </c>
      <c r="B53" s="1280" t="s">
        <v>700</v>
      </c>
      <c r="C53" s="308">
        <f ca="1">ROUND(IF(F53="押一",C49/12*F11,IF(F53="押二",C49/12*2*F11,IF(F53="押三",C49/12*3*F11,C54*F11))),0)</f>
        <v>0</v>
      </c>
      <c r="D53" s="150" t="s">
        <v>2116</v>
      </c>
      <c r="E53" s="305" t="s">
        <v>701</v>
      </c>
      <c r="F53" s="1053"/>
      <c r="I53" s="1343" t="s">
        <v>836</v>
      </c>
      <c r="J53" s="2005">
        <f ca="1">IF(M47="住宅",IF(D1="——",MAX(J51,L48),MAX(J51,L48-'数据-取费表'!B24)),IF(D1="——",MIN(J51,L48),MIN(J51,L48-'数据-取费表'!B24)))</f>
        <v>25.57</v>
      </c>
      <c r="K53" s="3377" t="s">
        <v>837</v>
      </c>
      <c r="L53" s="3378"/>
      <c r="O53" s="1324" t="s">
        <v>409</v>
      </c>
      <c r="P53" s="1325" t="s">
        <v>838</v>
      </c>
      <c r="Q53" s="1326">
        <f ca="1">Q47+Q48</f>
        <v>1460</v>
      </c>
      <c r="R53" s="1326" t="s">
        <v>410</v>
      </c>
    </row>
    <row r="54" spans="1:18" s="1291" customFormat="1" ht="13.5"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f ca="1">ROUND(IF(J47="钢混",J57/J50,1-(1-2%)*(J50-J57)/J50),3)</f>
        <v>0.14099999999999999</v>
      </c>
      <c r="K55" s="1349" t="s">
        <v>841</v>
      </c>
      <c r="L55" s="1350"/>
      <c r="O55" s="1317" t="s">
        <v>811</v>
      </c>
      <c r="P55" s="1318" t="s">
        <v>812</v>
      </c>
      <c r="Q55" s="1319" t="s">
        <v>813</v>
      </c>
      <c r="R55" s="1319" t="s">
        <v>814</v>
      </c>
    </row>
    <row r="56" spans="1:18" s="1291" customFormat="1" ht="25.5" thickTop="1" thickBot="1">
      <c r="A56" s="903">
        <v>2</v>
      </c>
      <c r="B56" s="904" t="s">
        <v>704</v>
      </c>
      <c r="C56" s="224">
        <f ca="1">C13</f>
        <v>862</v>
      </c>
      <c r="D56" s="1351"/>
      <c r="E56" s="1352"/>
      <c r="F56" s="1344"/>
      <c r="I56" s="1353" t="s">
        <v>842</v>
      </c>
      <c r="J56" s="1354" t="s">
        <v>3396</v>
      </c>
      <c r="K56" s="1327" t="s">
        <v>843</v>
      </c>
      <c r="L56" s="1330" t="str">
        <f ca="1">IF(L48&lt;J51,"——",L48-J53)</f>
        <v>——</v>
      </c>
      <c r="O56" s="1324" t="s">
        <v>403</v>
      </c>
      <c r="P56" s="1325" t="s">
        <v>817</v>
      </c>
      <c r="Q56" s="1326">
        <f ca="1">C40+J29</f>
        <v>1398</v>
      </c>
      <c r="R56" s="1326" t="s">
        <v>818</v>
      </c>
    </row>
    <row r="57" spans="1:18" s="1291" customFormat="1" ht="24.75" thickBot="1">
      <c r="A57" s="1355"/>
      <c r="B57" s="896" t="s">
        <v>767</v>
      </c>
      <c r="C57" s="230">
        <f ca="1">C29</f>
        <v>979</v>
      </c>
      <c r="D57" s="1356"/>
      <c r="E57" s="1357"/>
      <c r="F57" s="1358"/>
      <c r="I57" s="1359" t="s">
        <v>844</v>
      </c>
      <c r="J57" s="1360">
        <f ca="1">IF(OR(M47="住宅",J51&lt;L48,J56="是"),"——",J51-L48)</f>
        <v>8.43</v>
      </c>
      <c r="K57" s="1327" t="s">
        <v>845</v>
      </c>
      <c r="L57" s="1330" t="str">
        <f ca="1">IF(L48&lt;J51,"——",IF(L55="比较法",L49,IF(L55="基准地价",L50,L51)))</f>
        <v>——</v>
      </c>
      <c r="O57" s="1324" t="s">
        <v>404</v>
      </c>
      <c r="P57" s="1325" t="s">
        <v>846</v>
      </c>
      <c r="Q57" s="1326">
        <f ca="1">L60</f>
        <v>0</v>
      </c>
      <c r="R57" s="1326" t="s">
        <v>847</v>
      </c>
    </row>
    <row r="58" spans="1:18" s="1291" customFormat="1" ht="24.75" thickBot="1">
      <c r="A58" s="307" t="s">
        <v>393</v>
      </c>
      <c r="B58" s="904" t="s">
        <v>714</v>
      </c>
      <c r="C58" s="308">
        <f ca="1">ROUND(C59+C64+C65+C66,0)</f>
        <v>6</v>
      </c>
      <c r="D58" s="906" t="s">
        <v>715</v>
      </c>
      <c r="E58" s="907"/>
      <c r="F58" s="908"/>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f ca="1">IF(OR(M47="住宅",J51&lt;L48,J56="是"),"——",ROUND(C29*J58,0))</f>
        <v>392</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2" t="s">
        <v>853</v>
      </c>
      <c r="J60" s="1363">
        <f ca="1">IF(OR(M47="住宅",J51&lt;L48,J56="是"),"0",ROUND(J59/(1+J52)^J53,0))</f>
        <v>62</v>
      </c>
      <c r="K60" s="1364" t="s">
        <v>854</v>
      </c>
      <c r="L60" s="1363">
        <f ca="1">IF(OR(M47="住宅",L48&lt;J51),0,ROUND(L57*(L58/L59-1),0))</f>
        <v>0</v>
      </c>
      <c r="O60" s="1333" t="s">
        <v>407</v>
      </c>
      <c r="P60" s="1325" t="s">
        <v>855</v>
      </c>
      <c r="Q60" s="1326" t="e">
        <f ca="1">L58</f>
        <v>#DIV/0!</v>
      </c>
      <c r="R60" s="1326" t="s">
        <v>856</v>
      </c>
    </row>
    <row r="61" spans="1:18" s="1291" customFormat="1" ht="13.5" thickBot="1">
      <c r="A61" s="928" t="s">
        <v>781</v>
      </c>
      <c r="B61" s="896" t="s">
        <v>782</v>
      </c>
      <c r="C61" s="21">
        <f ca="1">IF(项目基本情况!B11="自然人","——",IF(D61="按租金收入计税",ROUND(C49*F61/(1+'数据-取费表'!C42),2),IF(D61="按房产原值计税",ROUND(C57*F61*0.7,2),INDIRECT("'数据-取费表'!Aj"&amp;$G$1))))</f>
        <v>0</v>
      </c>
      <c r="D61" s="1277" t="s">
        <v>3336</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f ca="1">IF(项目基本情况!B11="自然人","——",ROUND(F62*F63/10000,2))</f>
        <v>0</v>
      </c>
      <c r="D62" s="911" t="s">
        <v>786</v>
      </c>
      <c r="E62" s="896" t="s">
        <v>787</v>
      </c>
      <c r="F62" s="317">
        <f t="shared" si="0"/>
        <v>18</v>
      </c>
      <c r="I62" s="1366" t="s">
        <v>858</v>
      </c>
      <c r="J62" s="610" t="s">
        <v>859</v>
      </c>
      <c r="K62" s="610" t="s">
        <v>860</v>
      </c>
      <c r="L62" s="610" t="s">
        <v>861</v>
      </c>
      <c r="M62" s="1367" t="s">
        <v>862</v>
      </c>
      <c r="O62" s="1324" t="s">
        <v>409</v>
      </c>
      <c r="P62" s="1325" t="s">
        <v>863</v>
      </c>
      <c r="Q62" s="1326">
        <f ca="1">Q56+Q57</f>
        <v>1398</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4.9000000000000004</v>
      </c>
      <c r="D64" s="910" t="s">
        <v>791</v>
      </c>
      <c r="E64" s="896" t="s">
        <v>783</v>
      </c>
      <c r="F64" s="320">
        <f t="shared" ca="1" si="0"/>
        <v>5.0000000000000001E-3</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0.86</v>
      </c>
      <c r="D65" s="910" t="s">
        <v>743</v>
      </c>
      <c r="E65" s="896" t="s">
        <v>744</v>
      </c>
      <c r="F65" s="321">
        <f t="shared" ca="1" si="0"/>
        <v>1E-3</v>
      </c>
      <c r="I65" s="1366" t="s">
        <v>867</v>
      </c>
      <c r="J65" s="610">
        <v>40</v>
      </c>
      <c r="K65" s="610">
        <v>30</v>
      </c>
      <c r="L65" s="610">
        <v>50</v>
      </c>
      <c r="M65" s="1368">
        <v>0.02</v>
      </c>
      <c r="O65" s="1324" t="s">
        <v>403</v>
      </c>
      <c r="P65" s="1325" t="s">
        <v>868</v>
      </c>
      <c r="Q65" s="1326">
        <f ca="1">C40+J29</f>
        <v>1398</v>
      </c>
      <c r="R65" s="1326" t="s">
        <v>818</v>
      </c>
    </row>
    <row r="66" spans="1:18" s="1291" customFormat="1" ht="16.5" thickBot="1">
      <c r="A66" s="928" t="s">
        <v>793</v>
      </c>
      <c r="B66" s="896" t="s">
        <v>728</v>
      </c>
      <c r="C66" s="21">
        <f ca="1">ROUND(C48*F66,2)</f>
        <v>0</v>
      </c>
      <c r="D66" s="910" t="s">
        <v>794</v>
      </c>
      <c r="E66" s="896" t="s">
        <v>712</v>
      </c>
      <c r="F66" s="304">
        <f t="shared" ca="1" si="0"/>
        <v>0.01</v>
      </c>
      <c r="O66" s="1324" t="s">
        <v>404</v>
      </c>
      <c r="P66" s="1325" t="s">
        <v>846</v>
      </c>
      <c r="Q66" s="1326">
        <f ca="1">L60</f>
        <v>0</v>
      </c>
      <c r="R66" s="1326" t="s">
        <v>869</v>
      </c>
    </row>
    <row r="67" spans="1:18" s="1291" customFormat="1" ht="16.5" thickBot="1">
      <c r="A67" s="903" t="s">
        <v>394</v>
      </c>
      <c r="B67" s="913" t="s">
        <v>752</v>
      </c>
      <c r="C67" s="308">
        <f ca="1">C48-C58</f>
        <v>-6</v>
      </c>
      <c r="D67" s="909" t="s">
        <v>753</v>
      </c>
      <c r="E67" s="914"/>
      <c r="F67" s="915"/>
      <c r="O67" s="1333" t="s">
        <v>405</v>
      </c>
      <c r="P67" s="1325" t="s">
        <v>850</v>
      </c>
      <c r="Q67" s="1369">
        <f ca="1">L51</f>
        <v>399</v>
      </c>
      <c r="R67" s="1326" t="s">
        <v>870</v>
      </c>
    </row>
    <row r="68" spans="1:18" s="1291" customFormat="1" ht="16.5" thickBot="1">
      <c r="A68" s="893" t="s">
        <v>395</v>
      </c>
      <c r="B68" s="894" t="s">
        <v>774</v>
      </c>
      <c r="C68" s="293">
        <f ca="1">ROUND(C67*(1-((1+F70)/(1+F68))^F69)/(F68-F70),0)</f>
        <v>-51</v>
      </c>
      <c r="D68" s="911" t="s">
        <v>758</v>
      </c>
      <c r="E68" s="896" t="s">
        <v>759</v>
      </c>
      <c r="F68" s="304">
        <f ca="1">F40</f>
        <v>5.5E-2</v>
      </c>
      <c r="O68" s="1333" t="s">
        <v>406</v>
      </c>
      <c r="P68" s="1370" t="s">
        <v>871</v>
      </c>
      <c r="Q68" s="1326">
        <f ca="1">ROUND(Q69-Q70*Q71,0)</f>
        <v>25</v>
      </c>
      <c r="R68" s="1326" t="s">
        <v>414</v>
      </c>
    </row>
    <row r="69" spans="1:18" s="1291" customFormat="1" ht="13.5" thickBot="1">
      <c r="A69" s="897"/>
      <c r="B69" s="898"/>
      <c r="C69" s="298"/>
      <c r="D69" s="916" t="s">
        <v>762</v>
      </c>
      <c r="E69" s="896" t="s">
        <v>763</v>
      </c>
      <c r="F69" s="324">
        <f ca="1">F41</f>
        <v>11.81</v>
      </c>
      <c r="O69" s="1333" t="s">
        <v>411</v>
      </c>
      <c r="P69" s="1370" t="s">
        <v>872</v>
      </c>
      <c r="Q69" s="1326">
        <f ca="1">C39</f>
        <v>85</v>
      </c>
      <c r="R69" s="1326" t="s">
        <v>818</v>
      </c>
    </row>
    <row r="70" spans="1:18" s="1291" customFormat="1" ht="13.5" thickBot="1">
      <c r="A70" s="900"/>
      <c r="B70" s="901"/>
      <c r="C70" s="302"/>
      <c r="D70" s="912"/>
      <c r="E70" s="896" t="s">
        <v>766</v>
      </c>
      <c r="F70" s="991"/>
      <c r="O70" s="1333" t="s">
        <v>412</v>
      </c>
      <c r="P70" s="1370" t="s">
        <v>873</v>
      </c>
      <c r="Q70" s="1326">
        <f ca="1">C13</f>
        <v>862</v>
      </c>
      <c r="R70" s="1326" t="s">
        <v>818</v>
      </c>
    </row>
    <row r="71" spans="1:18" s="1291" customFormat="1" ht="13.5" thickBot="1">
      <c r="A71" s="917" t="s">
        <v>396</v>
      </c>
      <c r="B71" s="918" t="s">
        <v>776</v>
      </c>
      <c r="C71" s="327">
        <f ca="1">ROUND(C68*10000/F71,0)</f>
        <v>-215</v>
      </c>
      <c r="D71" s="919" t="s">
        <v>777</v>
      </c>
      <c r="E71" s="920" t="s">
        <v>778</v>
      </c>
      <c r="F71" s="330">
        <f ca="1">F43</f>
        <v>2375.33</v>
      </c>
      <c r="O71" s="1333" t="s">
        <v>413</v>
      </c>
      <c r="P71" s="1370" t="s">
        <v>874</v>
      </c>
      <c r="Q71" s="1336">
        <f ca="1">C76</f>
        <v>7.0000000000000007E-2</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60</v>
      </c>
      <c r="D75" s="1291"/>
      <c r="E75" s="1291"/>
      <c r="F75" s="1291"/>
      <c r="K75" s="1308"/>
      <c r="L75" s="1291"/>
      <c r="O75" s="1324" t="s">
        <v>409</v>
      </c>
      <c r="P75" s="1325" t="s">
        <v>838</v>
      </c>
      <c r="Q75" s="1326">
        <f ca="1">Q65+Q66</f>
        <v>1398</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0.29400000000000004</v>
      </c>
    </row>
    <row r="80" spans="1:18">
      <c r="B80" s="331" t="s">
        <v>800</v>
      </c>
      <c r="C80" s="266">
        <f ca="1">ROUND(C75/C39,3)</f>
        <v>0.70599999999999996</v>
      </c>
    </row>
    <row r="81" spans="2:3">
      <c r="B81" s="262" t="s">
        <v>801</v>
      </c>
      <c r="C81" s="230"/>
    </row>
    <row r="82" spans="2:3">
      <c r="B82" s="265" t="s">
        <v>802</v>
      </c>
      <c r="C82" s="267">
        <f ca="1">1-C83</f>
        <v>-0.19100000000000006</v>
      </c>
    </row>
    <row r="83" spans="2:3">
      <c r="B83" s="265" t="s">
        <v>803</v>
      </c>
      <c r="C83" s="266">
        <f ca="1">ROUND(C13/C40,3)</f>
        <v>1.1910000000000001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估价范围判定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zoomScaleSheetLayoutView="70" workbookViewId="0">
      <selection activeCell="H44" sqref="H4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2" t="e">
        <f ca="1">ROUND(D2/10000,4)</f>
        <v>#DIV/0!</v>
      </c>
      <c r="C2" s="1288" t="s">
        <v>879</v>
      </c>
      <c r="D2" s="1374" t="e">
        <f ca="1">C40+J29+L46</f>
        <v>#DIV/0!</v>
      </c>
      <c r="E2" s="1294" t="s">
        <v>880</v>
      </c>
      <c r="F2" s="1295"/>
      <c r="G2" s="2477"/>
      <c r="H2" s="2467"/>
      <c r="I2" s="2467"/>
      <c r="J2" s="2467"/>
      <c r="K2" s="2468"/>
      <c r="L2" s="2467"/>
      <c r="M2" s="2467"/>
    </row>
    <row r="3" spans="1:37" ht="18" customHeight="1" thickBot="1">
      <c r="A3" s="1296" t="s">
        <v>881</v>
      </c>
      <c r="B3" s="1297">
        <f ca="1">IF(ISERROR(D2/F43),0,ROUND(D2/F43,0))</f>
        <v>0</v>
      </c>
      <c r="C3" s="1288" t="s">
        <v>882</v>
      </c>
      <c r="D3" s="1288"/>
      <c r="E3" s="1294"/>
      <c r="F3" s="1295"/>
      <c r="G3" s="2477"/>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0</v>
      </c>
      <c r="D5" s="1272" t="s">
        <v>889</v>
      </c>
      <c r="E5" s="1008"/>
      <c r="F5" s="1009"/>
      <c r="G5" s="1291"/>
      <c r="H5" s="291">
        <v>1</v>
      </c>
      <c r="I5" s="292" t="s">
        <v>888</v>
      </c>
      <c r="J5" s="1007">
        <f ca="1">J6+J10+J12</f>
        <v>0</v>
      </c>
      <c r="K5" s="1272" t="s">
        <v>889</v>
      </c>
      <c r="L5" s="1008"/>
      <c r="M5" s="1009"/>
    </row>
    <row r="6" spans="1:37" ht="18" customHeight="1">
      <c r="A6" s="1006" t="s">
        <v>398</v>
      </c>
      <c r="B6" s="3379" t="s">
        <v>694</v>
      </c>
      <c r="C6" s="1011">
        <f ca="1">ROUND(F6*F8*F7*(1-F9),0)</f>
        <v>0</v>
      </c>
      <c r="D6" s="147" t="s">
        <v>2106</v>
      </c>
      <c r="E6" s="294" t="s">
        <v>696</v>
      </c>
      <c r="F6" s="295">
        <f ca="1">INDIRECT("'数据-取费表'!u"&amp;$G$1)</f>
        <v>0</v>
      </c>
      <c r="G6" s="1291"/>
      <c r="H6" s="1006" t="s">
        <v>398</v>
      </c>
      <c r="I6" s="3379" t="s">
        <v>694</v>
      </c>
      <c r="J6" s="293">
        <f ca="1">ROUND(M6*M8*M7*(1-M9),0)</f>
        <v>0</v>
      </c>
      <c r="K6" s="1283" t="s">
        <v>2107</v>
      </c>
      <c r="L6" s="294" t="s">
        <v>696</v>
      </c>
      <c r="M6" s="295">
        <f ca="1">INDIRECT("'数据-取费表'!z"&amp;$G$1)</f>
        <v>0</v>
      </c>
    </row>
    <row r="7" spans="1:37" ht="18" customHeight="1">
      <c r="A7" s="1010"/>
      <c r="B7" s="3380"/>
      <c r="C7" s="1012"/>
      <c r="D7" s="299"/>
      <c r="E7" s="1013" t="s">
        <v>697</v>
      </c>
      <c r="F7" s="295">
        <f ca="1">IF(INDIRECT("'数据-取费表'!ah"&amp;$G$1)="",INDIRECT("'数据-取费表'!k"&amp;$G$1),INDIRECT("'数据-取费表'!ah"&amp;$G$1))</f>
        <v>0</v>
      </c>
      <c r="G7" s="1291"/>
      <c r="H7" s="296"/>
      <c r="I7" s="3380"/>
      <c r="J7" s="298"/>
      <c r="K7" s="299"/>
      <c r="L7" s="294" t="s">
        <v>697</v>
      </c>
      <c r="M7" s="295">
        <f ca="1">F7</f>
        <v>0</v>
      </c>
    </row>
    <row r="8" spans="1:37" ht="18" customHeight="1">
      <c r="A8" s="296"/>
      <c r="B8" s="3380"/>
      <c r="C8" s="298"/>
      <c r="D8" s="299"/>
      <c r="E8" s="294" t="s">
        <v>698</v>
      </c>
      <c r="F8" s="295">
        <f ca="1">INDIRECT("'数据-取费表'!ai"&amp;$G$1)</f>
        <v>0</v>
      </c>
      <c r="G8" s="1291"/>
      <c r="H8" s="296"/>
      <c r="I8" s="3380"/>
      <c r="J8" s="298"/>
      <c r="K8" s="299"/>
      <c r="L8" s="294" t="s">
        <v>698</v>
      </c>
      <c r="M8" s="295">
        <f ca="1">INDIRECT("'数据-取费表'!ai"&amp;$G$1)</f>
        <v>0</v>
      </c>
    </row>
    <row r="9" spans="1:37" ht="18" customHeight="1">
      <c r="A9" s="296"/>
      <c r="B9" s="3381"/>
      <c r="C9" s="298"/>
      <c r="D9" s="299"/>
      <c r="E9" s="294" t="s">
        <v>699</v>
      </c>
      <c r="F9" s="304">
        <f ca="1">INDIRECT("'数据-取费表'!w"&amp;$G$1)</f>
        <v>0</v>
      </c>
      <c r="G9" s="1291"/>
      <c r="H9" s="296"/>
      <c r="I9" s="3381"/>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2116</v>
      </c>
      <c r="E10" s="305" t="s">
        <v>701</v>
      </c>
      <c r="F10" s="1053"/>
      <c r="G10" s="1291"/>
      <c r="H10" s="1006" t="s">
        <v>402</v>
      </c>
      <c r="I10" s="1273" t="s">
        <v>700</v>
      </c>
      <c r="J10" s="293">
        <f ca="1">ROUND(IF(M10="押一",J6/12*M11,IF(M10="押二",J6/12*2*M11,IF(M10="押三",J6/12*3*M11,J11*M11))),0)</f>
        <v>0</v>
      </c>
      <c r="K10" s="1284" t="s">
        <v>2118</v>
      </c>
      <c r="L10" s="305" t="s">
        <v>701</v>
      </c>
      <c r="M10" s="1053"/>
    </row>
    <row r="11" spans="1:37" ht="18" customHeight="1">
      <c r="A11" s="300"/>
      <c r="B11" s="1274" t="s">
        <v>890</v>
      </c>
      <c r="C11" s="905"/>
      <c r="D11" s="299"/>
      <c r="E11" s="305" t="s">
        <v>702</v>
      </c>
      <c r="F11" s="306">
        <f ca="1">'数据-取费表'!B39</f>
        <v>1.4999999999999999E-2</v>
      </c>
      <c r="G11" s="1291"/>
      <c r="H11" s="1014"/>
      <c r="I11" s="1274" t="s">
        <v>891</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ROUND(F17*(F43+INDIRECT("'数据-取费表'!S"&amp;$G$1)),0)</f>
        <v>0</v>
      </c>
      <c r="D17" s="294" t="s">
        <v>717</v>
      </c>
      <c r="E17" s="294" t="s">
        <v>718</v>
      </c>
      <c r="F17" s="23">
        <f>'数据-取费表'!B35</f>
        <v>200</v>
      </c>
      <c r="G17" s="1302"/>
      <c r="H17" s="928"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0.02</v>
      </c>
      <c r="G18" s="1302"/>
      <c r="H18" s="928" t="s">
        <v>397</v>
      </c>
      <c r="I18" s="294" t="s">
        <v>723</v>
      </c>
      <c r="J18" s="21">
        <f ca="1">ROUND(J6*M18/(1+'数据-取费表'!C42),0)</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IF(K19="按租金收入计税",ROUND(J6*M19/(1+'数据-取费表'!C42),0),ROUND(C29*M19*0.7,0))</f>
        <v>0</v>
      </c>
      <c r="K19" s="1277" t="s">
        <v>3336</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0.02</v>
      </c>
      <c r="G20" s="1302"/>
      <c r="H20" s="928" t="s">
        <v>680</v>
      </c>
      <c r="I20" s="147" t="s">
        <v>730</v>
      </c>
      <c r="J20" s="22">
        <f ca="1">ROUND(M20*M21,0)</f>
        <v>0</v>
      </c>
      <c r="K20" s="316" t="s">
        <v>731</v>
      </c>
      <c r="L20" s="294" t="s">
        <v>732</v>
      </c>
      <c r="M20" s="317">
        <f>'数据-取费表'!B52</f>
        <v>18</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8"/>
      <c r="F22" s="23"/>
      <c r="G22" s="1291"/>
      <c r="H22" s="928" t="s">
        <v>402</v>
      </c>
      <c r="I22" s="294" t="s">
        <v>738</v>
      </c>
      <c r="J22" s="21">
        <f ca="1">ROUND(J14*M22,0)</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2"/>
      <c r="H23" s="928" t="s">
        <v>437</v>
      </c>
      <c r="I23" s="294" t="s">
        <v>742</v>
      </c>
      <c r="J23" s="21">
        <f ca="1">ROUND(J13*M23,0)</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3.3500000000000002E-2</v>
      </c>
      <c r="G24" s="1302"/>
      <c r="H24" s="1026" t="s">
        <v>684</v>
      </c>
      <c r="I24" s="1027" t="s">
        <v>728</v>
      </c>
      <c r="J24" s="1028">
        <f ca="1">ROUND(J5*M24,0)</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9"/>
      <c r="I30" s="1304"/>
      <c r="J30" s="1305"/>
      <c r="K30" s="121"/>
      <c r="L30" s="2470"/>
      <c r="M30" s="2471"/>
    </row>
    <row r="31" spans="1:37" ht="18" customHeight="1">
      <c r="A31" s="928" t="s">
        <v>398</v>
      </c>
      <c r="B31" s="294"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8" t="s">
        <v>2306</v>
      </c>
      <c r="I31" s="1304"/>
      <c r="J31" s="1305"/>
      <c r="K31" s="121"/>
      <c r="L31" s="2470"/>
      <c r="M31" s="2471"/>
    </row>
    <row r="32" spans="1:37" ht="18" customHeight="1">
      <c r="A32" s="928" t="s">
        <v>397</v>
      </c>
      <c r="B32" s="294" t="s">
        <v>723</v>
      </c>
      <c r="C32" s="21">
        <f ca="1">IF(项目基本情况!B11="自然人","——",ROUND(C6*F32/(1+'数据-取费表'!C42),0))</f>
        <v>0</v>
      </c>
      <c r="D32" s="1255" t="s">
        <v>724</v>
      </c>
      <c r="E32" s="294" t="s">
        <v>712</v>
      </c>
      <c r="F32" s="322">
        <f>'数据-取费表'!B41</f>
        <v>5.5000000000000007E-2</v>
      </c>
      <c r="G32" s="1291"/>
      <c r="H32" s="2469"/>
      <c r="I32" s="1304"/>
      <c r="J32" s="1305"/>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7" t="s">
        <v>3336</v>
      </c>
      <c r="E33" s="294" t="s">
        <v>712</v>
      </c>
      <c r="F33" s="314">
        <f>IF(D33="按票据","——",IF(D33="按租金收入计税",'数据-取费表'!B51,'数据-取费表'!B50))</f>
        <v>0.12</v>
      </c>
      <c r="G33" s="1291"/>
      <c r="H33" s="2472"/>
      <c r="I33" s="1304"/>
      <c r="J33" s="1305"/>
      <c r="K33" s="2473"/>
      <c r="L33" s="2472"/>
      <c r="M33" s="2472"/>
    </row>
    <row r="34" spans="1:18" ht="18" customHeight="1">
      <c r="A34" s="1006" t="s">
        <v>680</v>
      </c>
      <c r="B34" s="147" t="s">
        <v>730</v>
      </c>
      <c r="C34" s="22">
        <f ca="1">IF(项目基本情况!B11="自然人","——",ROUND(F34*F35,0))</f>
        <v>0</v>
      </c>
      <c r="D34" s="316" t="s">
        <v>731</v>
      </c>
      <c r="E34" s="294" t="s">
        <v>732</v>
      </c>
      <c r="F34" s="317">
        <f>'数据-取费表'!B52</f>
        <v>18</v>
      </c>
      <c r="G34" s="1291"/>
      <c r="H34" s="2469"/>
      <c r="I34" s="1304"/>
      <c r="J34" s="1305"/>
      <c r="K34" s="2474"/>
      <c r="L34" s="2475"/>
      <c r="M34" s="2475"/>
    </row>
    <row r="35" spans="1:18" ht="18" customHeight="1">
      <c r="A35" s="1040"/>
      <c r="B35" s="1038"/>
      <c r="C35" s="26"/>
      <c r="D35" s="319"/>
      <c r="E35" s="294" t="s">
        <v>736</v>
      </c>
      <c r="F35" s="295">
        <f ca="1">INDIRECT("'数据-取费表'!r"&amp;$G$1)</f>
        <v>0</v>
      </c>
      <c r="G35" s="1291"/>
      <c r="H35" s="2469"/>
      <c r="I35" s="1304"/>
      <c r="J35" s="1305"/>
      <c r="K35" s="2473"/>
      <c r="L35" s="2472"/>
      <c r="M35" s="2472"/>
    </row>
    <row r="36" spans="1:18" ht="18" customHeight="1">
      <c r="A36" s="1039" t="s">
        <v>402</v>
      </c>
      <c r="B36" s="294" t="s">
        <v>738</v>
      </c>
      <c r="C36" s="21">
        <f ca="1">ROUND(C29*F36,0)</f>
        <v>0</v>
      </c>
      <c r="D36" s="1255" t="s">
        <v>771</v>
      </c>
      <c r="E36" s="294" t="s">
        <v>712</v>
      </c>
      <c r="F36" s="320">
        <f ca="1">INDIRECT("'数据-取费表'!Ak"&amp;$G$1)</f>
        <v>0</v>
      </c>
      <c r="G36" s="1291"/>
      <c r="H36" s="2472"/>
      <c r="I36" s="1304"/>
      <c r="J36" s="1305"/>
      <c r="K36" s="2330"/>
      <c r="L36" s="2472"/>
      <c r="M36" s="2472"/>
    </row>
    <row r="37" spans="1:18" ht="18" customHeight="1">
      <c r="A37" s="928" t="s">
        <v>437</v>
      </c>
      <c r="B37" s="294" t="s">
        <v>742</v>
      </c>
      <c r="C37" s="21">
        <f ca="1">ROUND(C13*F37,0)</f>
        <v>0</v>
      </c>
      <c r="D37" s="1255" t="s">
        <v>743</v>
      </c>
      <c r="E37" s="294" t="s">
        <v>744</v>
      </c>
      <c r="F37" s="321">
        <f ca="1">INDIRECT("'数据-取费表'!Al"&amp;$G$1)</f>
        <v>0</v>
      </c>
      <c r="G37" s="1291"/>
      <c r="H37" s="2472"/>
      <c r="I37" s="1304"/>
      <c r="J37" s="1305"/>
      <c r="K37" s="2330"/>
      <c r="L37" s="2472"/>
      <c r="M37" s="2472"/>
    </row>
    <row r="38" spans="1:18" ht="18" customHeight="1" thickBot="1">
      <c r="A38" s="1026" t="s">
        <v>684</v>
      </c>
      <c r="B38" s="1027" t="s">
        <v>728</v>
      </c>
      <c r="C38" s="1028">
        <f ca="1">ROUND(C5*F38,0)</f>
        <v>0</v>
      </c>
      <c r="D38" s="1029" t="s">
        <v>748</v>
      </c>
      <c r="E38" s="1027" t="s">
        <v>744</v>
      </c>
      <c r="F38" s="1023">
        <f ca="1">INDIRECT("'数据-取费表'!Am"&amp;$G$1)</f>
        <v>0</v>
      </c>
      <c r="G38" s="1291"/>
      <c r="H38" s="2472"/>
      <c r="I38" s="1304"/>
      <c r="J38" s="1305"/>
      <c r="K38" s="2470"/>
      <c r="L38" s="2472"/>
      <c r="M38" s="2472"/>
    </row>
    <row r="39" spans="1:18" ht="24.6" customHeight="1" thickTop="1">
      <c r="A39" s="1016" t="s">
        <v>394</v>
      </c>
      <c r="B39" s="1031" t="s">
        <v>772</v>
      </c>
      <c r="C39" s="302">
        <f ca="1">C5-C30</f>
        <v>0</v>
      </c>
      <c r="D39" s="1032" t="s">
        <v>773</v>
      </c>
      <c r="E39" s="1033"/>
      <c r="F39" s="1034"/>
      <c r="G39" s="1291"/>
      <c r="H39" s="2472"/>
      <c r="I39" s="1304"/>
      <c r="J39" s="1305"/>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0"/>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8" t="s">
        <v>3352</v>
      </c>
      <c r="B45" s="1306"/>
      <c r="C45" s="1375" t="e">
        <f ca="1">ROUND((C68-C40)/10000,4)</f>
        <v>#DIV/0!</v>
      </c>
      <c r="D45" s="3129" t="s">
        <v>3353</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926"/>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30.75" customHeight="1" thickBot="1">
      <c r="A53" s="1048" t="s">
        <v>440</v>
      </c>
      <c r="B53" s="315" t="s">
        <v>700</v>
      </c>
      <c r="C53" s="308">
        <f ca="1">ROUND(IF(F53="押一",C49/12*F11,IF(F53="押二",C49/12*2*F11,IF(F53="押三",C49/12*3*F11,C54*F11))),0)</f>
        <v>0</v>
      </c>
      <c r="D53" s="150" t="s">
        <v>2119</v>
      </c>
      <c r="E53" s="305" t="s">
        <v>701</v>
      </c>
      <c r="F53" s="1053"/>
      <c r="I53" s="1343" t="s">
        <v>836</v>
      </c>
      <c r="J53" s="2005">
        <f ca="1">IF(M47="住宅",IF(D1="——",MAX(J51,L48),MAX(J51,L48-'数据-取费表'!B24)),IF(D1="——",MIN(J51,L48),MIN(J51,L48-'数据-取费表'!B24)))</f>
        <v>0</v>
      </c>
      <c r="K53" s="3377" t="s">
        <v>837</v>
      </c>
      <c r="L53" s="3378"/>
      <c r="O53" s="1324" t="s">
        <v>409</v>
      </c>
      <c r="P53" s="1325" t="s">
        <v>838</v>
      </c>
      <c r="Q53" s="1326" t="e">
        <f ca="1">Q47+Q48</f>
        <v>#DIV/0!</v>
      </c>
      <c r="R53" s="1326" t="s">
        <v>410</v>
      </c>
    </row>
    <row r="54" spans="1:18" s="1291" customFormat="1" ht="13.5"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f ca="1">IF(项目基本情况!B11="自然人","——",IF(D61="按租金收入计税",ROUND(C49*F61/(1+'数据-取费表'!C42),0),IF(D61="按房产原值计税",ROUND(C57*F61*0.7,0),INDIRECT("'数据-取费表'!Aj"&amp;$G$1))))</f>
        <v>0</v>
      </c>
      <c r="D61" s="1277" t="s">
        <v>3336</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f ca="1">IF(项目基本情况!B11="自然人","——",ROUND(F62*F63,0))</f>
        <v>0</v>
      </c>
      <c r="D62" s="911" t="s">
        <v>786</v>
      </c>
      <c r="E62" s="896" t="s">
        <v>787</v>
      </c>
      <c r="F62" s="317">
        <f t="shared" si="0"/>
        <v>18</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ROUND(C48*F66,0)</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估价范围判定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H44" sqref="H44"/>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2" t="s">
        <v>2315</v>
      </c>
      <c r="B2" s="2593" t="e">
        <f>IF(D2="——",C40,C40+E2)</f>
        <v>#DIV/0!</v>
      </c>
      <c r="C2" s="2594" t="s">
        <v>2316</v>
      </c>
      <c r="D2" s="3137" t="s">
        <v>3359</v>
      </c>
      <c r="E2" s="3138"/>
      <c r="F2" s="2596"/>
      <c r="G2" s="2597"/>
      <c r="H2" s="2598"/>
      <c r="I2" s="2599"/>
      <c r="J2" s="3382" t="s">
        <v>2317</v>
      </c>
      <c r="K2" s="3383"/>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384" t="s">
        <v>2327</v>
      </c>
      <c r="K3" s="3385"/>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384" t="s">
        <v>2329</v>
      </c>
      <c r="K4" s="3385"/>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386" t="s">
        <v>2333</v>
      </c>
      <c r="B6" s="3387"/>
      <c r="C6" s="3388"/>
      <c r="D6" s="2620"/>
      <c r="E6" s="2621"/>
      <c r="F6" s="2622"/>
      <c r="G6" s="2623"/>
      <c r="H6" s="2598"/>
      <c r="I6" s="2599"/>
      <c r="J6" s="3389">
        <v>1</v>
      </c>
      <c r="K6" s="3390"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389"/>
      <c r="K7" s="3391"/>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393" t="s">
        <v>2347</v>
      </c>
      <c r="C8" s="3394"/>
      <c r="D8" s="2639" t="s">
        <v>2348</v>
      </c>
      <c r="E8" s="2640" t="s">
        <v>2349</v>
      </c>
      <c r="F8" s="2641" t="s">
        <v>2350</v>
      </c>
      <c r="G8" s="2642"/>
      <c r="H8" s="2598"/>
      <c r="I8" s="2599"/>
      <c r="J8" s="3389"/>
      <c r="K8" s="3391"/>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393" t="s">
        <v>2353</v>
      </c>
      <c r="C9" s="3394"/>
      <c r="D9" s="2639">
        <f>ROUND(D6*E9,0)</f>
        <v>0</v>
      </c>
      <c r="E9" s="2643"/>
      <c r="F9" s="2644" t="s">
        <v>2354</v>
      </c>
      <c r="G9" s="2623"/>
      <c r="H9" s="2598"/>
      <c r="I9" s="2599"/>
      <c r="J9" s="3389"/>
      <c r="K9" s="3391"/>
      <c r="L9" s="2633" t="s">
        <v>2355</v>
      </c>
      <c r="M9" s="2634"/>
      <c r="N9" s="2610"/>
      <c r="O9" s="2635"/>
      <c r="P9" s="2635"/>
      <c r="Q9" s="2636">
        <v>365</v>
      </c>
      <c r="R9" s="2637">
        <f t="shared" si="0"/>
        <v>0</v>
      </c>
      <c r="S9" s="2591"/>
      <c r="T9" s="2591"/>
      <c r="U9" s="2591"/>
      <c r="V9" s="2599"/>
    </row>
    <row r="10" spans="1:22" s="2603" customFormat="1" ht="13.15" customHeight="1">
      <c r="A10" s="2638">
        <v>2</v>
      </c>
      <c r="B10" s="3393" t="s">
        <v>2356</v>
      </c>
      <c r="C10" s="3394"/>
      <c r="D10" s="2639">
        <f>ROUND(D6*E10,0)</f>
        <v>0</v>
      </c>
      <c r="E10" s="2643"/>
      <c r="F10" s="2644" t="s">
        <v>2357</v>
      </c>
      <c r="G10" s="2623"/>
      <c r="H10" s="2598"/>
      <c r="I10" s="2599"/>
      <c r="J10" s="3389"/>
      <c r="K10" s="3391"/>
      <c r="L10" s="2633" t="s">
        <v>2358</v>
      </c>
      <c r="M10" s="2634"/>
      <c r="N10" s="2610"/>
      <c r="O10" s="2635"/>
      <c r="P10" s="2635"/>
      <c r="Q10" s="2636">
        <v>365</v>
      </c>
      <c r="R10" s="2637">
        <f t="shared" si="0"/>
        <v>0</v>
      </c>
      <c r="S10" s="2591"/>
      <c r="T10" s="2591"/>
      <c r="U10" s="2591"/>
      <c r="V10" s="2599"/>
    </row>
    <row r="11" spans="1:22" s="2603" customFormat="1" ht="13.15" customHeight="1">
      <c r="A11" s="2638">
        <v>3</v>
      </c>
      <c r="B11" s="3393" t="s">
        <v>2359</v>
      </c>
      <c r="C11" s="3394"/>
      <c r="D11" s="2639">
        <f>D12+D14+D15+D16</f>
        <v>0</v>
      </c>
      <c r="E11" s="2645" t="e">
        <f>D11/D6</f>
        <v>#DIV/0!</v>
      </c>
      <c r="F11" s="2641"/>
      <c r="G11" s="2642"/>
      <c r="H11" s="2598"/>
      <c r="I11" s="2599"/>
      <c r="J11" s="3389"/>
      <c r="K11" s="3391"/>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395" t="s">
        <v>2362</v>
      </c>
      <c r="C12" s="3396"/>
      <c r="D12" s="2647">
        <f>ROUND(D13*1.2%*(1-30%),0)</f>
        <v>0</v>
      </c>
      <c r="E12" s="2648">
        <v>1.2E-2</v>
      </c>
      <c r="F12" s="2641" t="s">
        <v>2363</v>
      </c>
      <c r="G12" s="2642"/>
      <c r="H12" s="2598"/>
      <c r="I12" s="2599"/>
      <c r="J12" s="3389"/>
      <c r="K12" s="3391"/>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389"/>
      <c r="K13" s="3391"/>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395" t="s">
        <v>2368</v>
      </c>
      <c r="C14" s="3396"/>
      <c r="D14" s="2647">
        <f>ROUND(E14*B5/10000,0)</f>
        <v>0</v>
      </c>
      <c r="E14" s="2636"/>
      <c r="F14" s="2641" t="s">
        <v>2369</v>
      </c>
      <c r="G14" s="2642"/>
      <c r="H14" s="2598"/>
      <c r="I14" s="2599"/>
      <c r="J14" s="3389"/>
      <c r="K14" s="3392"/>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395" t="s">
        <v>2372</v>
      </c>
      <c r="C15" s="3396"/>
      <c r="D15" s="2647">
        <f>ROUND(D6*E15,0)</f>
        <v>0</v>
      </c>
      <c r="E15" s="2648">
        <v>5.5E-2</v>
      </c>
      <c r="F15" s="2641" t="s">
        <v>2373</v>
      </c>
      <c r="G15" s="2623"/>
      <c r="H15" s="2598"/>
      <c r="I15" s="2599"/>
      <c r="J15" s="3389">
        <v>2</v>
      </c>
      <c r="K15" s="3390"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395" t="s">
        <v>2381</v>
      </c>
      <c r="C16" s="3396"/>
      <c r="D16" s="2658">
        <f>D6*E16</f>
        <v>0</v>
      </c>
      <c r="E16" s="2659"/>
      <c r="F16" s="2644" t="s">
        <v>2382</v>
      </c>
      <c r="G16" s="2623"/>
      <c r="H16" s="2598"/>
      <c r="I16" s="2599"/>
      <c r="J16" s="3389"/>
      <c r="K16" s="3391"/>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397" t="s">
        <v>2384</v>
      </c>
      <c r="C17" s="3398"/>
      <c r="D17" s="2661">
        <f>ROUND(D6*E17,0)</f>
        <v>0</v>
      </c>
      <c r="E17" s="2662"/>
      <c r="F17" s="2663" t="s">
        <v>2385</v>
      </c>
      <c r="G17" s="2623"/>
      <c r="H17" s="2598"/>
      <c r="I17" s="2599"/>
      <c r="J17" s="3389"/>
      <c r="K17" s="3391"/>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389"/>
      <c r="K18" s="3391"/>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389"/>
      <c r="K19" s="3392"/>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89">
        <v>3</v>
      </c>
      <c r="K20" s="3390"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389"/>
      <c r="K21" s="3391"/>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389"/>
      <c r="K22" s="3391"/>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389"/>
      <c r="K23" s="3391"/>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389"/>
      <c r="K24" s="3392"/>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399">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400"/>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382" t="s">
        <v>2317</v>
      </c>
      <c r="K32" s="3383"/>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384" t="s">
        <v>2327</v>
      </c>
      <c r="K33" s="3385"/>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384" t="s">
        <v>2329</v>
      </c>
      <c r="K34" s="3385"/>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389">
        <v>1</v>
      </c>
      <c r="K36" s="3390"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389"/>
      <c r="K37" s="3391"/>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89"/>
      <c r="K38" s="3391"/>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389"/>
      <c r="K39" s="3391"/>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389"/>
      <c r="K40" s="3392"/>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399">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400"/>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 type="list" allowBlank="1" showInputMessage="1" showErrorMessage="1" sqref="D2" xr:uid="{00000000-0002-0000-1A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8"/>
      <c r="G1" s="459"/>
      <c r="H1" s="459"/>
      <c r="I1" s="459"/>
      <c r="J1" s="459"/>
      <c r="K1" s="459"/>
      <c r="L1" s="459"/>
      <c r="M1" s="459"/>
      <c r="N1" s="459"/>
      <c r="O1" s="459"/>
      <c r="P1" s="459"/>
      <c r="Q1" s="459"/>
      <c r="R1" s="459"/>
      <c r="S1" s="459"/>
    </row>
    <row r="2" spans="1:22" ht="15.75">
      <c r="A2" s="1727" t="s">
        <v>1462</v>
      </c>
      <c r="B2" s="811">
        <f ca="1">SUMIF(B6:B13,"&lt;&gt;#ref!",B6:B13)</f>
        <v>1460</v>
      </c>
      <c r="C2" s="1728" t="s">
        <v>1651</v>
      </c>
      <c r="D2" s="1729" t="s">
        <v>1652</v>
      </c>
      <c r="E2" s="2392">
        <f>SUM(E6:E13)</f>
        <v>2375.33</v>
      </c>
      <c r="F2" s="2478"/>
      <c r="G2" s="459"/>
      <c r="H2" s="459"/>
      <c r="I2" s="459"/>
      <c r="J2" s="459"/>
      <c r="K2" s="459"/>
      <c r="L2" s="459"/>
      <c r="M2" s="459"/>
      <c r="N2" s="459"/>
      <c r="O2" s="459"/>
      <c r="P2" s="459"/>
      <c r="Q2" s="459"/>
      <c r="R2" s="459"/>
      <c r="S2" s="459"/>
    </row>
    <row r="3" spans="1:22" ht="15.75">
      <c r="A3" s="1727" t="s">
        <v>686</v>
      </c>
      <c r="B3" s="2386">
        <f ca="1">ROUND(B2*10000/E2,0)</f>
        <v>6147</v>
      </c>
      <c r="C3" s="1728"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8" t="s">
        <v>1653</v>
      </c>
      <c r="B5" s="3401" t="s">
        <v>1654</v>
      </c>
      <c r="C5" s="3402"/>
      <c r="D5" s="2479"/>
      <c r="E5" s="1730" t="s">
        <v>1655</v>
      </c>
      <c r="F5" s="129" t="s">
        <v>1656</v>
      </c>
      <c r="G5" s="459"/>
      <c r="H5" s="459"/>
      <c r="I5" s="459"/>
      <c r="J5" s="459"/>
      <c r="K5" s="459"/>
      <c r="L5" s="459"/>
      <c r="M5" s="459"/>
      <c r="N5" s="459"/>
      <c r="O5" s="459"/>
      <c r="P5" s="459"/>
      <c r="Q5" s="459"/>
      <c r="R5" s="459"/>
      <c r="S5" s="459"/>
    </row>
    <row r="6" spans="1:22">
      <c r="A6" s="2389" t="str">
        <f>'数据-取费表'!AN6</f>
        <v>收益法</v>
      </c>
      <c r="B6" s="2387">
        <f ca="1">IF(F6="是",'数据-取费表'!AO6,0)</f>
        <v>1460</v>
      </c>
      <c r="C6" s="1728" t="s">
        <v>1651</v>
      </c>
      <c r="D6" s="2478"/>
      <c r="E6" s="2391">
        <f>IF(OR(A6=0,F6="否"),0,'数据-取费表'!K6+'数据-取费表'!S6)</f>
        <v>2375.33</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8"/>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8"/>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8"/>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8"/>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8"/>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8"/>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0"/>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c r="E1" s="3123"/>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4"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3"/>
      <c r="M2" s="2484"/>
      <c r="N2" s="2484"/>
      <c r="O2" s="2484"/>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0</v>
      </c>
      <c r="C3" s="344" t="s">
        <v>1665</v>
      </c>
      <c r="D3" s="343">
        <f>IF(D1="",'数据-汇总表'!E3,SUMIF('数据-汇总表'!$C19:$C33,D1,'数据-汇总表'!$E19:$E33))</f>
        <v>2375.33</v>
      </c>
      <c r="E3" s="854"/>
      <c r="F3" s="1742"/>
      <c r="G3" s="854"/>
      <c r="H3" s="854"/>
      <c r="I3" s="854"/>
      <c r="J3" s="854"/>
      <c r="K3" s="1739"/>
      <c r="L3" s="2483"/>
      <c r="M3" s="2484"/>
      <c r="N3" s="2484"/>
      <c r="O3" s="2484"/>
      <c r="P3" s="1740"/>
      <c r="Q3" s="1741"/>
      <c r="R3" s="1741"/>
      <c r="S3" s="1741"/>
      <c r="T3" s="1741"/>
      <c r="U3" s="1741"/>
      <c r="V3" s="1741"/>
      <c r="W3" s="1741"/>
      <c r="X3" s="1741"/>
      <c r="Y3" s="1741"/>
      <c r="Z3" s="1741"/>
      <c r="AA3" s="1741"/>
      <c r="AB3" s="1741"/>
      <c r="AC3" s="998"/>
    </row>
    <row r="4" spans="1:29" ht="15">
      <c r="A4" s="345" t="s">
        <v>1666</v>
      </c>
      <c r="B4" s="346"/>
      <c r="C4" s="3350" t="s">
        <v>1667</v>
      </c>
      <c r="D4" s="3351"/>
      <c r="E4" s="3352" t="s">
        <v>1668</v>
      </c>
      <c r="F4" s="3353"/>
      <c r="G4" s="3350" t="s">
        <v>1669</v>
      </c>
      <c r="H4" s="3351"/>
      <c r="I4" s="3350" t="s">
        <v>1670</v>
      </c>
      <c r="J4" s="3351"/>
      <c r="K4" s="1743" t="s">
        <v>1671</v>
      </c>
      <c r="L4" s="2485"/>
      <c r="M4" s="2486"/>
      <c r="N4" s="2486"/>
      <c r="O4" s="2486"/>
      <c r="P4" s="3354" t="s">
        <v>1672</v>
      </c>
      <c r="Q4" s="3355"/>
      <c r="R4" s="3337" t="s">
        <v>1668</v>
      </c>
      <c r="S4" s="3338"/>
      <c r="T4" s="3337" t="s">
        <v>1669</v>
      </c>
      <c r="U4" s="3338"/>
      <c r="V4" s="3362" t="s">
        <v>1670</v>
      </c>
      <c r="W4" s="3362"/>
      <c r="X4" s="1264"/>
      <c r="Y4" s="3337" t="s">
        <v>1672</v>
      </c>
      <c r="Z4" s="3338"/>
      <c r="AA4" s="3332" t="s">
        <v>1668</v>
      </c>
      <c r="AB4" s="3332" t="s">
        <v>1669</v>
      </c>
      <c r="AC4" s="3332" t="s">
        <v>1670</v>
      </c>
    </row>
    <row r="5" spans="1:29" ht="15">
      <c r="A5" s="348"/>
      <c r="B5" s="349"/>
      <c r="C5" s="3343" t="s">
        <v>1673</v>
      </c>
      <c r="D5" s="3344"/>
      <c r="E5" s="3341" t="s">
        <v>1674</v>
      </c>
      <c r="F5" s="3342"/>
      <c r="G5" s="3343" t="s">
        <v>1675</v>
      </c>
      <c r="H5" s="3344"/>
      <c r="I5" s="3343" t="s">
        <v>1676</v>
      </c>
      <c r="J5" s="3344"/>
      <c r="K5" s="1744"/>
      <c r="L5" s="2485"/>
      <c r="M5" s="2486"/>
      <c r="N5" s="2486"/>
      <c r="O5" s="2486"/>
      <c r="P5" s="3356"/>
      <c r="Q5" s="3357"/>
      <c r="R5" s="3339"/>
      <c r="S5" s="3340"/>
      <c r="T5" s="3339"/>
      <c r="U5" s="3340"/>
      <c r="V5" s="3362"/>
      <c r="W5" s="3362"/>
      <c r="X5" s="1264"/>
      <c r="Y5" s="3339"/>
      <c r="Z5" s="3340"/>
      <c r="AA5" s="3333"/>
      <c r="AB5" s="3333"/>
      <c r="AC5" s="3333"/>
    </row>
    <row r="6" spans="1:29" ht="15.75" thickBot="1">
      <c r="A6" s="350"/>
      <c r="B6" s="351"/>
      <c r="C6" s="3345" t="s">
        <v>1677</v>
      </c>
      <c r="D6" s="3346"/>
      <c r="E6" s="3347" t="s">
        <v>1677</v>
      </c>
      <c r="F6" s="3348"/>
      <c r="G6" s="3345" t="s">
        <v>1677</v>
      </c>
      <c r="H6" s="3346"/>
      <c r="I6" s="3345" t="s">
        <v>1677</v>
      </c>
      <c r="J6" s="3346"/>
      <c r="K6" s="1744" t="s">
        <v>1678</v>
      </c>
      <c r="L6" s="2485"/>
      <c r="M6" s="2486"/>
      <c r="N6" s="2486"/>
      <c r="O6" s="2486"/>
      <c r="P6" s="3358"/>
      <c r="Q6" s="3359"/>
      <c r="R6" s="3339"/>
      <c r="S6" s="3340"/>
      <c r="T6" s="3360"/>
      <c r="U6" s="3361"/>
      <c r="V6" s="3362"/>
      <c r="W6" s="3362"/>
      <c r="X6" s="1264"/>
      <c r="Y6" s="3360"/>
      <c r="Z6" s="3361"/>
      <c r="AA6" s="3334"/>
      <c r="AB6" s="3334"/>
      <c r="AC6" s="3334"/>
    </row>
    <row r="7" spans="1:29" s="102" customFormat="1" ht="15.75" thickBot="1">
      <c r="A7" s="352" t="s">
        <v>1679</v>
      </c>
      <c r="B7" s="353"/>
      <c r="C7" s="354">
        <f>'数据-取费表'!B2</f>
        <v>45544</v>
      </c>
      <c r="D7" s="355">
        <v>100</v>
      </c>
      <c r="E7" s="356"/>
      <c r="F7" s="357">
        <f>SUMIF(58:58,YEAR(E7)&amp;"-"&amp;MONTH(E7),59:59)</f>
        <v>0</v>
      </c>
      <c r="G7" s="356"/>
      <c r="H7" s="355">
        <f>SUMIF(58:58,YEAR(G7)&amp;"-"&amp;MONTH(G7),59:59)</f>
        <v>0</v>
      </c>
      <c r="I7" s="356"/>
      <c r="J7" s="355">
        <f>SUMIF(58:58,YEAR(I7)&amp;"-"&amp;MONTH(I7),59:59)</f>
        <v>0</v>
      </c>
      <c r="K7" s="1745"/>
      <c r="L7" s="2487"/>
      <c r="M7" s="2439"/>
      <c r="N7" s="2439"/>
      <c r="O7" s="2439"/>
      <c r="P7" s="3335" t="s">
        <v>1680</v>
      </c>
      <c r="Q7" s="3363"/>
      <c r="R7" s="664" t="s">
        <v>20</v>
      </c>
      <c r="S7" s="665">
        <f t="shared" ref="S7:S15" si="0">F7</f>
        <v>0</v>
      </c>
      <c r="T7" s="664" t="s">
        <v>20</v>
      </c>
      <c r="U7" s="665">
        <f t="shared" ref="U7:U15" si="1">H7</f>
        <v>0</v>
      </c>
      <c r="V7" s="664" t="s">
        <v>20</v>
      </c>
      <c r="W7" s="665">
        <f t="shared" ref="W7:W15" si="2">J7</f>
        <v>0</v>
      </c>
      <c r="X7" s="666"/>
      <c r="Y7" s="3335" t="s">
        <v>1680</v>
      </c>
      <c r="Z7" s="3336"/>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7"/>
      <c r="M8" s="2439"/>
      <c r="N8" s="2439"/>
      <c r="O8" s="2439"/>
      <c r="P8" s="3335" t="s">
        <v>1683</v>
      </c>
      <c r="Q8" s="3336"/>
      <c r="R8" s="664" t="s">
        <v>20</v>
      </c>
      <c r="S8" s="665">
        <f t="shared" si="0"/>
        <v>100</v>
      </c>
      <c r="T8" s="664" t="s">
        <v>20</v>
      </c>
      <c r="U8" s="665">
        <f t="shared" si="1"/>
        <v>100</v>
      </c>
      <c r="V8" s="664" t="s">
        <v>20</v>
      </c>
      <c r="W8" s="665">
        <f t="shared" si="2"/>
        <v>100</v>
      </c>
      <c r="X8" s="666"/>
      <c r="Y8" s="3335" t="s">
        <v>1683</v>
      </c>
      <c r="Z8" s="3336"/>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7"/>
      <c r="M9" s="2439"/>
      <c r="N9" s="2439"/>
      <c r="O9" s="2439"/>
      <c r="P9" s="3373" t="s">
        <v>1686</v>
      </c>
      <c r="Q9" s="530" t="str">
        <f t="shared" ref="Q9:Q15" si="6">B9</f>
        <v>用途</v>
      </c>
      <c r="R9" s="664" t="s">
        <v>14</v>
      </c>
      <c r="S9" s="665">
        <f t="shared" si="0"/>
        <v>100</v>
      </c>
      <c r="T9" s="664" t="s">
        <v>14</v>
      </c>
      <c r="U9" s="665">
        <f t="shared" si="1"/>
        <v>100</v>
      </c>
      <c r="V9" s="664" t="s">
        <v>14</v>
      </c>
      <c r="W9" s="665">
        <f t="shared" si="2"/>
        <v>100</v>
      </c>
      <c r="X9" s="666"/>
      <c r="Y9" s="3308"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5"/>
      <c r="L10" s="2488"/>
      <c r="M10" s="2489"/>
      <c r="N10" s="2489"/>
      <c r="O10" s="2489"/>
      <c r="P10" s="3373"/>
      <c r="Q10" s="530" t="str">
        <f t="shared" si="6"/>
        <v>土地使用年限（年）</v>
      </c>
      <c r="R10" s="664" t="s">
        <v>14</v>
      </c>
      <c r="S10" s="665">
        <f t="shared" si="0"/>
        <v>100</v>
      </c>
      <c r="T10" s="664" t="s">
        <v>14</v>
      </c>
      <c r="U10" s="665">
        <f t="shared" si="1"/>
        <v>100</v>
      </c>
      <c r="V10" s="664" t="s">
        <v>14</v>
      </c>
      <c r="W10" s="665">
        <f t="shared" si="2"/>
        <v>100</v>
      </c>
      <c r="X10" s="666"/>
      <c r="Y10" s="330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73"/>
      <c r="Q11" s="530" t="str">
        <f t="shared" si="6"/>
        <v>容积率</v>
      </c>
      <c r="R11" s="664" t="s">
        <v>18</v>
      </c>
      <c r="S11" s="665" t="e">
        <f t="shared" si="0"/>
        <v>#N/A</v>
      </c>
      <c r="T11" s="664" t="s">
        <v>18</v>
      </c>
      <c r="U11" s="665" t="e">
        <f t="shared" si="1"/>
        <v>#N/A</v>
      </c>
      <c r="V11" s="664" t="s">
        <v>18</v>
      </c>
      <c r="W11" s="665" t="e">
        <f t="shared" si="2"/>
        <v>#N/A</v>
      </c>
      <c r="X11" s="666"/>
      <c r="Y11" s="330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7"/>
      <c r="M12" s="2439"/>
      <c r="N12" s="2439"/>
      <c r="O12" s="2439"/>
      <c r="P12" s="3373"/>
      <c r="Q12" s="530">
        <f t="shared" si="6"/>
        <v>111</v>
      </c>
      <c r="R12" s="664" t="s">
        <v>18</v>
      </c>
      <c r="S12" s="665">
        <f t="shared" si="0"/>
        <v>100</v>
      </c>
      <c r="T12" s="664" t="s">
        <v>18</v>
      </c>
      <c r="U12" s="665">
        <f t="shared" si="1"/>
        <v>100</v>
      </c>
      <c r="V12" s="664" t="s">
        <v>18</v>
      </c>
      <c r="W12" s="665">
        <f t="shared" si="2"/>
        <v>100</v>
      </c>
      <c r="X12" s="666"/>
      <c r="Y12" s="330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1"/>
      <c r="M13" s="2486"/>
      <c r="N13" s="2486"/>
      <c r="O13" s="2486"/>
      <c r="P13" s="3373"/>
      <c r="Q13" s="530">
        <f t="shared" si="6"/>
        <v>111</v>
      </c>
      <c r="R13" s="664" t="s">
        <v>18</v>
      </c>
      <c r="S13" s="665">
        <f t="shared" si="0"/>
        <v>100</v>
      </c>
      <c r="T13" s="664" t="s">
        <v>18</v>
      </c>
      <c r="U13" s="665">
        <f t="shared" si="1"/>
        <v>100</v>
      </c>
      <c r="V13" s="664" t="s">
        <v>18</v>
      </c>
      <c r="W13" s="665">
        <f t="shared" si="2"/>
        <v>100</v>
      </c>
      <c r="X13" s="666"/>
      <c r="Y13" s="3308"/>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1"/>
      <c r="M14" s="2486"/>
      <c r="N14" s="2486"/>
      <c r="O14" s="2486"/>
      <c r="P14" s="3373"/>
      <c r="Q14" s="530">
        <f t="shared" si="6"/>
        <v>111</v>
      </c>
      <c r="R14" s="664" t="s">
        <v>18</v>
      </c>
      <c r="S14" s="665">
        <f t="shared" si="0"/>
        <v>100</v>
      </c>
      <c r="T14" s="664" t="s">
        <v>18</v>
      </c>
      <c r="U14" s="665">
        <f t="shared" si="1"/>
        <v>100</v>
      </c>
      <c r="V14" s="664" t="s">
        <v>18</v>
      </c>
      <c r="W14" s="665">
        <f t="shared" si="2"/>
        <v>100</v>
      </c>
      <c r="X14" s="666"/>
      <c r="Y14" s="3308"/>
      <c r="Z14" s="50">
        <f t="shared" si="7"/>
        <v>111</v>
      </c>
      <c r="AA14" s="50">
        <f t="shared" si="3"/>
        <v>1</v>
      </c>
      <c r="AB14" s="50">
        <f t="shared" si="4"/>
        <v>1</v>
      </c>
      <c r="AC14" s="50">
        <f t="shared" si="5"/>
        <v>1</v>
      </c>
    </row>
    <row r="15" spans="1:29" ht="15">
      <c r="A15" s="379" t="s">
        <v>1690</v>
      </c>
      <c r="B15" s="58" t="s">
        <v>1257</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08" t="s">
        <v>1691</v>
      </c>
      <c r="Q15" s="1262" t="str">
        <f t="shared" si="6"/>
        <v>居住社区成熟度</v>
      </c>
      <c r="R15" s="667" t="s">
        <v>18</v>
      </c>
      <c r="S15" s="668">
        <f t="shared" si="0"/>
        <v>100</v>
      </c>
      <c r="T15" s="667" t="s">
        <v>18</v>
      </c>
      <c r="U15" s="668">
        <f t="shared" si="1"/>
        <v>100</v>
      </c>
      <c r="V15" s="667" t="s">
        <v>18</v>
      </c>
      <c r="W15" s="668">
        <f t="shared" si="2"/>
        <v>100</v>
      </c>
      <c r="X15" s="1264"/>
      <c r="Y15" s="3364"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1"/>
      <c r="M16" s="2486"/>
      <c r="N16" s="2486"/>
      <c r="O16" s="2486"/>
      <c r="P16" s="3409"/>
      <c r="Q16" s="1262"/>
      <c r="R16" s="667"/>
      <c r="S16" s="668"/>
      <c r="T16" s="667"/>
      <c r="U16" s="668"/>
      <c r="V16" s="667"/>
      <c r="W16" s="668"/>
      <c r="X16" s="1264"/>
      <c r="Y16" s="3365"/>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09"/>
      <c r="Q17" s="1262" t="str">
        <f>B17</f>
        <v>交通便捷度</v>
      </c>
      <c r="R17" s="667" t="s">
        <v>18</v>
      </c>
      <c r="S17" s="668">
        <f>F17</f>
        <v>100</v>
      </c>
      <c r="T17" s="667" t="s">
        <v>18</v>
      </c>
      <c r="U17" s="668">
        <f>H17</f>
        <v>100</v>
      </c>
      <c r="V17" s="667" t="s">
        <v>18</v>
      </c>
      <c r="W17" s="668">
        <f>J17</f>
        <v>100</v>
      </c>
      <c r="X17" s="1264"/>
      <c r="Y17" s="3365"/>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1"/>
      <c r="M18" s="2486"/>
      <c r="N18" s="2486"/>
      <c r="O18" s="2486"/>
      <c r="P18" s="3409"/>
      <c r="Q18" s="1262"/>
      <c r="R18" s="667"/>
      <c r="S18" s="668"/>
      <c r="T18" s="667"/>
      <c r="U18" s="668"/>
      <c r="V18" s="667"/>
      <c r="W18" s="668"/>
      <c r="X18" s="1264"/>
      <c r="Y18" s="3365"/>
      <c r="Z18" s="1263"/>
      <c r="AA18" s="1263">
        <v>1</v>
      </c>
      <c r="AB18" s="1263">
        <v>1</v>
      </c>
      <c r="AC18" s="1263">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09"/>
      <c r="Q19" s="1262" t="str">
        <f>B19</f>
        <v>公共配套设施</v>
      </c>
      <c r="R19" s="667" t="s">
        <v>18</v>
      </c>
      <c r="S19" s="668">
        <f>F19</f>
        <v>100</v>
      </c>
      <c r="T19" s="667" t="s">
        <v>18</v>
      </c>
      <c r="U19" s="668">
        <f>H19</f>
        <v>100</v>
      </c>
      <c r="V19" s="667" t="s">
        <v>18</v>
      </c>
      <c r="W19" s="668">
        <f>J19</f>
        <v>100</v>
      </c>
      <c r="X19" s="1264"/>
      <c r="Y19" s="3365"/>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1"/>
      <c r="M20" s="2486"/>
      <c r="N20" s="2486"/>
      <c r="O20" s="2486"/>
      <c r="P20" s="3409"/>
      <c r="Q20" s="1262"/>
      <c r="R20" s="667"/>
      <c r="S20" s="668"/>
      <c r="T20" s="667"/>
      <c r="U20" s="668"/>
      <c r="V20" s="667"/>
      <c r="W20" s="668"/>
      <c r="X20" s="1264"/>
      <c r="Y20" s="3365"/>
      <c r="Z20" s="1263"/>
      <c r="AA20" s="1263">
        <v>1</v>
      </c>
      <c r="AB20" s="1263">
        <v>1</v>
      </c>
      <c r="AC20" s="1263">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09"/>
      <c r="Q21" s="1262" t="str">
        <f>B21</f>
        <v>基础设施水平</v>
      </c>
      <c r="R21" s="667" t="s">
        <v>14</v>
      </c>
      <c r="S21" s="668">
        <f>F21</f>
        <v>100</v>
      </c>
      <c r="T21" s="667" t="s">
        <v>14</v>
      </c>
      <c r="U21" s="668">
        <f>H21</f>
        <v>100</v>
      </c>
      <c r="V21" s="667" t="s">
        <v>14</v>
      </c>
      <c r="W21" s="668">
        <f>J21</f>
        <v>100</v>
      </c>
      <c r="X21" s="1264"/>
      <c r="Y21" s="3365"/>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91"/>
      <c r="M22" s="2486"/>
      <c r="N22" s="2486"/>
      <c r="O22" s="2486"/>
      <c r="P22" s="3409"/>
      <c r="Q22" s="1262"/>
      <c r="R22" s="667"/>
      <c r="S22" s="668"/>
      <c r="T22" s="667"/>
      <c r="U22" s="668"/>
      <c r="V22" s="667"/>
      <c r="W22" s="668"/>
      <c r="X22" s="1264"/>
      <c r="Y22" s="3365"/>
      <c r="Z22" s="1263"/>
      <c r="AA22" s="1263">
        <v>1</v>
      </c>
      <c r="AB22" s="1263">
        <v>1</v>
      </c>
      <c r="AC22" s="1263">
        <v>1</v>
      </c>
    </row>
    <row r="23" spans="1:29" ht="57">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09"/>
      <c r="Q23" s="1262" t="str">
        <f>B23</f>
        <v>自然及人文环境</v>
      </c>
      <c r="R23" s="667" t="s">
        <v>18</v>
      </c>
      <c r="S23" s="668">
        <f>F23</f>
        <v>100</v>
      </c>
      <c r="T23" s="667" t="s">
        <v>18</v>
      </c>
      <c r="U23" s="668">
        <f>H23</f>
        <v>100</v>
      </c>
      <c r="V23" s="667" t="s">
        <v>18</v>
      </c>
      <c r="W23" s="668">
        <f>J23</f>
        <v>100</v>
      </c>
      <c r="X23" s="1264"/>
      <c r="Y23" s="3365"/>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1"/>
      <c r="M24" s="2486"/>
      <c r="N24" s="2486"/>
      <c r="O24" s="2486"/>
      <c r="P24" s="3409"/>
      <c r="Q24" s="1262"/>
      <c r="R24" s="667"/>
      <c r="S24" s="668"/>
      <c r="T24" s="667"/>
      <c r="U24" s="668"/>
      <c r="V24" s="667"/>
      <c r="W24" s="668"/>
      <c r="X24" s="1264"/>
      <c r="Y24" s="3365"/>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1"/>
      <c r="M25" s="2486"/>
      <c r="N25" s="2486"/>
      <c r="O25" s="2486"/>
      <c r="P25" s="3409"/>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365"/>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1"/>
      <c r="M26" s="2486"/>
      <c r="N26" s="2486"/>
      <c r="O26" s="2486"/>
      <c r="P26" s="3409"/>
      <c r="Q26" s="1262" t="str">
        <f t="shared" si="11"/>
        <v>朝向</v>
      </c>
      <c r="R26" s="667" t="s">
        <v>18</v>
      </c>
      <c r="S26" s="668">
        <f t="shared" si="12"/>
        <v>100</v>
      </c>
      <c r="T26" s="667" t="s">
        <v>18</v>
      </c>
      <c r="U26" s="668">
        <f t="shared" si="13"/>
        <v>100</v>
      </c>
      <c r="V26" s="667" t="s">
        <v>18</v>
      </c>
      <c r="W26" s="668">
        <f t="shared" si="14"/>
        <v>100</v>
      </c>
      <c r="X26" s="1264"/>
      <c r="Y26" s="3365"/>
      <c r="Z26" s="1263" t="str">
        <f>Q26</f>
        <v>朝向</v>
      </c>
      <c r="AA26" s="1263">
        <f t="shared" si="15"/>
        <v>1</v>
      </c>
      <c r="AB26" s="1263">
        <f t="shared" si="16"/>
        <v>1</v>
      </c>
      <c r="AC26" s="1263">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7"/>
      <c r="L27" s="2487"/>
      <c r="M27" s="2439"/>
      <c r="N27" s="2439"/>
      <c r="O27" s="2439"/>
      <c r="P27" s="3409"/>
      <c r="Q27" s="530">
        <f t="shared" si="11"/>
        <v>111</v>
      </c>
      <c r="R27" s="664" t="s">
        <v>18</v>
      </c>
      <c r="S27" s="665">
        <f t="shared" si="12"/>
        <v>100</v>
      </c>
      <c r="T27" s="664" t="s">
        <v>18</v>
      </c>
      <c r="U27" s="665">
        <f t="shared" si="13"/>
        <v>100</v>
      </c>
      <c r="V27" s="664" t="s">
        <v>18</v>
      </c>
      <c r="W27" s="665">
        <f t="shared" si="14"/>
        <v>100</v>
      </c>
      <c r="X27" s="666"/>
      <c r="Y27" s="3365"/>
      <c r="Z27" s="50">
        <f>Q27</f>
        <v>111</v>
      </c>
      <c r="AA27" s="1263">
        <f t="shared" si="15"/>
        <v>1</v>
      </c>
      <c r="AB27" s="1263">
        <f t="shared" si="16"/>
        <v>1</v>
      </c>
      <c r="AC27" s="1263">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1"/>
      <c r="M28" s="2486"/>
      <c r="N28" s="2486"/>
      <c r="O28" s="2486"/>
      <c r="P28" s="3409"/>
      <c r="Q28" s="1262">
        <f t="shared" si="11"/>
        <v>111</v>
      </c>
      <c r="R28" s="667" t="s">
        <v>18</v>
      </c>
      <c r="S28" s="668">
        <f t="shared" si="12"/>
        <v>100</v>
      </c>
      <c r="T28" s="667" t="s">
        <v>18</v>
      </c>
      <c r="U28" s="668">
        <f t="shared" si="13"/>
        <v>100</v>
      </c>
      <c r="V28" s="667" t="s">
        <v>18</v>
      </c>
      <c r="W28" s="668">
        <f t="shared" si="14"/>
        <v>100</v>
      </c>
      <c r="X28" s="1264"/>
      <c r="Y28" s="3365"/>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1"/>
      <c r="M29" s="2486"/>
      <c r="N29" s="2486"/>
      <c r="O29" s="2486"/>
      <c r="P29" s="3409"/>
      <c r="Q29" s="1262">
        <f t="shared" si="11"/>
        <v>111</v>
      </c>
      <c r="R29" s="667" t="s">
        <v>18</v>
      </c>
      <c r="S29" s="668">
        <f t="shared" si="12"/>
        <v>100</v>
      </c>
      <c r="T29" s="667" t="s">
        <v>18</v>
      </c>
      <c r="U29" s="668">
        <f t="shared" si="13"/>
        <v>100</v>
      </c>
      <c r="V29" s="667" t="s">
        <v>18</v>
      </c>
      <c r="W29" s="668">
        <f t="shared" si="14"/>
        <v>100</v>
      </c>
      <c r="X29" s="1264"/>
      <c r="Y29" s="3365"/>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1"/>
      <c r="M30" s="2486"/>
      <c r="N30" s="2486"/>
      <c r="O30" s="2486"/>
      <c r="P30" s="3409"/>
      <c r="Q30" s="1262">
        <f t="shared" si="11"/>
        <v>111</v>
      </c>
      <c r="R30" s="667" t="s">
        <v>18</v>
      </c>
      <c r="S30" s="668">
        <f t="shared" si="12"/>
        <v>100</v>
      </c>
      <c r="T30" s="667" t="s">
        <v>18</v>
      </c>
      <c r="U30" s="668">
        <f t="shared" si="13"/>
        <v>100</v>
      </c>
      <c r="V30" s="667" t="s">
        <v>18</v>
      </c>
      <c r="W30" s="668">
        <f t="shared" si="14"/>
        <v>100</v>
      </c>
      <c r="X30" s="1264"/>
      <c r="Y30" s="3365"/>
      <c r="Z30" s="1263">
        <f t="shared" si="18"/>
        <v>111</v>
      </c>
      <c r="AA30" s="1263">
        <f t="shared" si="15"/>
        <v>1</v>
      </c>
      <c r="AB30" s="1263">
        <f t="shared" si="16"/>
        <v>1</v>
      </c>
      <c r="AC30" s="1263">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1"/>
      <c r="M31" s="2486"/>
      <c r="N31" s="2486"/>
      <c r="O31" s="2486"/>
      <c r="P31" s="3409"/>
      <c r="Q31" s="1262">
        <f t="shared" si="11"/>
        <v>111</v>
      </c>
      <c r="R31" s="667" t="s">
        <v>18</v>
      </c>
      <c r="S31" s="668">
        <f t="shared" si="12"/>
        <v>100</v>
      </c>
      <c r="T31" s="667" t="s">
        <v>18</v>
      </c>
      <c r="U31" s="668">
        <f t="shared" si="13"/>
        <v>100</v>
      </c>
      <c r="V31" s="667" t="s">
        <v>18</v>
      </c>
      <c r="W31" s="668">
        <f t="shared" si="14"/>
        <v>100</v>
      </c>
      <c r="X31" s="1264"/>
      <c r="Y31" s="3365"/>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1"/>
      <c r="M32" s="2486"/>
      <c r="N32" s="2486"/>
      <c r="O32" s="2486"/>
      <c r="P32" s="3404" t="s">
        <v>1696</v>
      </c>
      <c r="Q32" s="1262" t="str">
        <f t="shared" si="11"/>
        <v>建筑类型</v>
      </c>
      <c r="R32" s="667" t="s">
        <v>18</v>
      </c>
      <c r="S32" s="668">
        <f t="shared" si="12"/>
        <v>100</v>
      </c>
      <c r="T32" s="667" t="s">
        <v>18</v>
      </c>
      <c r="U32" s="668">
        <f t="shared" si="13"/>
        <v>100</v>
      </c>
      <c r="V32" s="667" t="s">
        <v>18</v>
      </c>
      <c r="W32" s="668">
        <f t="shared" si="14"/>
        <v>100</v>
      </c>
      <c r="X32" s="1264"/>
      <c r="Y32" s="3367"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0"/>
      <c r="M33" s="2492"/>
      <c r="N33" s="2492"/>
      <c r="O33" s="2492"/>
      <c r="P33" s="3405"/>
      <c r="Q33" s="531" t="str">
        <f t="shared" si="11"/>
        <v>项目建筑规模</v>
      </c>
      <c r="R33" s="669" t="s">
        <v>18</v>
      </c>
      <c r="S33" s="670" t="e">
        <f t="shared" si="12"/>
        <v>#N/A</v>
      </c>
      <c r="T33" s="669" t="s">
        <v>18</v>
      </c>
      <c r="U33" s="670" t="e">
        <f t="shared" si="13"/>
        <v>#N/A</v>
      </c>
      <c r="V33" s="669" t="s">
        <v>18</v>
      </c>
      <c r="W33" s="670" t="e">
        <f t="shared" si="14"/>
        <v>#N/A</v>
      </c>
      <c r="X33" s="671"/>
      <c r="Y33" s="3367"/>
      <c r="Z33" s="672"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1"/>
      <c r="M34" s="2486"/>
      <c r="N34" s="2486"/>
      <c r="O34" s="2486"/>
      <c r="P34" s="3405"/>
      <c r="Q34" s="1262" t="str">
        <f t="shared" si="11"/>
        <v>建筑结构</v>
      </c>
      <c r="R34" s="667" t="s">
        <v>18</v>
      </c>
      <c r="S34" s="668">
        <f t="shared" si="12"/>
        <v>100</v>
      </c>
      <c r="T34" s="667" t="s">
        <v>18</v>
      </c>
      <c r="U34" s="668">
        <f t="shared" si="13"/>
        <v>100</v>
      </c>
      <c r="V34" s="667" t="s">
        <v>18</v>
      </c>
      <c r="W34" s="668">
        <f t="shared" si="14"/>
        <v>100</v>
      </c>
      <c r="X34" s="1264"/>
      <c r="Y34" s="3367"/>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1"/>
      <c r="M35" s="2486"/>
      <c r="N35" s="2486"/>
      <c r="O35" s="2486"/>
      <c r="P35" s="3405"/>
      <c r="Q35" s="1262" t="str">
        <f t="shared" si="11"/>
        <v>建筑品质</v>
      </c>
      <c r="R35" s="667" t="s">
        <v>18</v>
      </c>
      <c r="S35" s="668">
        <f t="shared" si="12"/>
        <v>100</v>
      </c>
      <c r="T35" s="667" t="s">
        <v>18</v>
      </c>
      <c r="U35" s="668">
        <f t="shared" si="13"/>
        <v>100</v>
      </c>
      <c r="V35" s="667" t="s">
        <v>18</v>
      </c>
      <c r="W35" s="668">
        <f t="shared" si="14"/>
        <v>100</v>
      </c>
      <c r="X35" s="1264"/>
      <c r="Y35" s="3367"/>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1"/>
      <c r="M36" s="2486"/>
      <c r="N36" s="2486"/>
      <c r="O36" s="2486"/>
      <c r="P36" s="3405"/>
      <c r="Q36" s="1262" t="str">
        <f t="shared" si="11"/>
        <v>公共部分装修</v>
      </c>
      <c r="R36" s="667" t="s">
        <v>18</v>
      </c>
      <c r="S36" s="668">
        <f t="shared" si="12"/>
        <v>100</v>
      </c>
      <c r="T36" s="667" t="s">
        <v>18</v>
      </c>
      <c r="U36" s="668">
        <f t="shared" si="13"/>
        <v>100</v>
      </c>
      <c r="V36" s="667" t="s">
        <v>18</v>
      </c>
      <c r="W36" s="668">
        <f t="shared" si="14"/>
        <v>100</v>
      </c>
      <c r="X36" s="1264"/>
      <c r="Y36" s="3367"/>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05"/>
      <c r="Q37" s="530" t="str">
        <f t="shared" si="11"/>
        <v>成新度</v>
      </c>
      <c r="R37" s="664" t="s">
        <v>18</v>
      </c>
      <c r="S37" s="665" t="e">
        <f t="shared" si="12"/>
        <v>#N/A</v>
      </c>
      <c r="T37" s="664" t="s">
        <v>18</v>
      </c>
      <c r="U37" s="665" t="e">
        <f t="shared" si="13"/>
        <v>#N/A</v>
      </c>
      <c r="V37" s="664" t="s">
        <v>18</v>
      </c>
      <c r="W37" s="665" t="e">
        <f t="shared" si="14"/>
        <v>#N/A</v>
      </c>
      <c r="X37" s="666"/>
      <c r="Y37" s="3367"/>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1"/>
      <c r="M38" s="2486"/>
      <c r="N38" s="2486"/>
      <c r="O38" s="2486"/>
      <c r="P38" s="3405" t="s">
        <v>1696</v>
      </c>
      <c r="Q38" s="1262" t="str">
        <f t="shared" si="11"/>
        <v>物业管理</v>
      </c>
      <c r="R38" s="667" t="s">
        <v>18</v>
      </c>
      <c r="S38" s="668">
        <f t="shared" si="12"/>
        <v>100</v>
      </c>
      <c r="T38" s="667" t="s">
        <v>18</v>
      </c>
      <c r="U38" s="668">
        <f t="shared" si="13"/>
        <v>100</v>
      </c>
      <c r="V38" s="667" t="s">
        <v>18</v>
      </c>
      <c r="W38" s="668">
        <f t="shared" si="14"/>
        <v>100</v>
      </c>
      <c r="X38" s="1264"/>
      <c r="Y38" s="3367"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1"/>
      <c r="M39" s="2486"/>
      <c r="N39" s="2486"/>
      <c r="O39" s="2486"/>
      <c r="P39" s="3405"/>
      <c r="Q39" s="1262" t="str">
        <f t="shared" si="11"/>
        <v>市政基础设施</v>
      </c>
      <c r="R39" s="667" t="s">
        <v>18</v>
      </c>
      <c r="S39" s="668">
        <f t="shared" si="12"/>
        <v>100</v>
      </c>
      <c r="T39" s="667" t="s">
        <v>18</v>
      </c>
      <c r="U39" s="668">
        <f t="shared" si="13"/>
        <v>100</v>
      </c>
      <c r="V39" s="667" t="s">
        <v>18</v>
      </c>
      <c r="W39" s="668">
        <f t="shared" si="14"/>
        <v>100</v>
      </c>
      <c r="X39" s="1264"/>
      <c r="Y39" s="3367"/>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1"/>
      <c r="M40" s="2486"/>
      <c r="N40" s="2486"/>
      <c r="O40" s="2486"/>
      <c r="P40" s="3405"/>
      <c r="Q40" s="1262" t="str">
        <f t="shared" si="11"/>
        <v>房型</v>
      </c>
      <c r="R40" s="667" t="s">
        <v>18</v>
      </c>
      <c r="S40" s="668">
        <f t="shared" si="12"/>
        <v>100</v>
      </c>
      <c r="T40" s="667" t="s">
        <v>18</v>
      </c>
      <c r="U40" s="668">
        <f t="shared" si="13"/>
        <v>100</v>
      </c>
      <c r="V40" s="667" t="s">
        <v>18</v>
      </c>
      <c r="W40" s="668">
        <f t="shared" si="14"/>
        <v>100</v>
      </c>
      <c r="X40" s="1264"/>
      <c r="Y40" s="3367"/>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0"/>
      <c r="M41" s="2492"/>
      <c r="N41" s="2492"/>
      <c r="O41" s="2492"/>
      <c r="P41" s="3405"/>
      <c r="Q41" s="531" t="str">
        <f t="shared" si="11"/>
        <v>单套/主力户型建筑面积</v>
      </c>
      <c r="R41" s="669" t="s">
        <v>18</v>
      </c>
      <c r="S41" s="670">
        <f t="shared" si="12"/>
        <v>100</v>
      </c>
      <c r="T41" s="669" t="s">
        <v>18</v>
      </c>
      <c r="U41" s="670">
        <f t="shared" si="13"/>
        <v>100</v>
      </c>
      <c r="V41" s="669" t="s">
        <v>18</v>
      </c>
      <c r="W41" s="670">
        <f t="shared" si="14"/>
        <v>100</v>
      </c>
      <c r="X41" s="671"/>
      <c r="Y41" s="3367"/>
      <c r="Z41" s="672"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1"/>
      <c r="M42" s="2486"/>
      <c r="N42" s="2486"/>
      <c r="O42" s="2486"/>
      <c r="P42" s="3405"/>
      <c r="Q42" s="1262" t="str">
        <f t="shared" si="11"/>
        <v>内部装修</v>
      </c>
      <c r="R42" s="667" t="s">
        <v>18</v>
      </c>
      <c r="S42" s="668">
        <f t="shared" si="12"/>
        <v>100</v>
      </c>
      <c r="T42" s="667" t="s">
        <v>18</v>
      </c>
      <c r="U42" s="668">
        <f t="shared" si="13"/>
        <v>100</v>
      </c>
      <c r="V42" s="667" t="s">
        <v>18</v>
      </c>
      <c r="W42" s="668">
        <f t="shared" si="14"/>
        <v>100</v>
      </c>
      <c r="X42" s="1264"/>
      <c r="Y42" s="3367"/>
      <c r="Z42" s="1263" t="str">
        <f t="shared" si="18"/>
        <v>内部装修</v>
      </c>
      <c r="AA42" s="1263">
        <f t="shared" si="15"/>
        <v>1</v>
      </c>
      <c r="AB42" s="1263">
        <f t="shared" si="16"/>
        <v>1</v>
      </c>
      <c r="AC42" s="1263">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1"/>
      <c r="M43" s="2486"/>
      <c r="N43" s="2486"/>
      <c r="O43" s="2486"/>
      <c r="P43" s="3405"/>
      <c r="Q43" s="1262" t="str">
        <f t="shared" si="11"/>
        <v>内部装修维护情况</v>
      </c>
      <c r="R43" s="667" t="s">
        <v>18</v>
      </c>
      <c r="S43" s="668">
        <f t="shared" si="12"/>
        <v>100</v>
      </c>
      <c r="T43" s="667" t="s">
        <v>18</v>
      </c>
      <c r="U43" s="668">
        <f t="shared" si="13"/>
        <v>100</v>
      </c>
      <c r="V43" s="667" t="s">
        <v>18</v>
      </c>
      <c r="W43" s="668">
        <f t="shared" si="14"/>
        <v>100</v>
      </c>
      <c r="X43" s="1264"/>
      <c r="Y43" s="3367"/>
      <c r="Z43" s="1263" t="str">
        <f t="shared" si="18"/>
        <v>内部装修维护情况</v>
      </c>
      <c r="AA43" s="1263">
        <f t="shared" si="15"/>
        <v>1</v>
      </c>
      <c r="AB43" s="1263">
        <f t="shared" si="16"/>
        <v>1</v>
      </c>
      <c r="AC43" s="1263">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7"/>
      <c r="M44" s="2439"/>
      <c r="N44" s="2439"/>
      <c r="O44" s="2439"/>
      <c r="P44" s="3405"/>
      <c r="Q44" s="530">
        <f t="shared" si="11"/>
        <v>111</v>
      </c>
      <c r="R44" s="664" t="s">
        <v>18</v>
      </c>
      <c r="S44" s="665">
        <f t="shared" si="12"/>
        <v>100</v>
      </c>
      <c r="T44" s="664" t="s">
        <v>18</v>
      </c>
      <c r="U44" s="665">
        <f t="shared" si="13"/>
        <v>100</v>
      </c>
      <c r="V44" s="664" t="s">
        <v>18</v>
      </c>
      <c r="W44" s="665">
        <f t="shared" si="14"/>
        <v>100</v>
      </c>
      <c r="X44" s="666"/>
      <c r="Y44" s="336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1"/>
      <c r="M45" s="2486"/>
      <c r="N45" s="2486"/>
      <c r="O45" s="2486"/>
      <c r="P45" s="3405"/>
      <c r="Q45" s="1262">
        <f t="shared" si="11"/>
        <v>111</v>
      </c>
      <c r="R45" s="667" t="s">
        <v>18</v>
      </c>
      <c r="S45" s="668">
        <f t="shared" si="12"/>
        <v>100</v>
      </c>
      <c r="T45" s="667" t="s">
        <v>18</v>
      </c>
      <c r="U45" s="668">
        <f t="shared" si="13"/>
        <v>100</v>
      </c>
      <c r="V45" s="667" t="s">
        <v>18</v>
      </c>
      <c r="W45" s="668">
        <f t="shared" si="14"/>
        <v>100</v>
      </c>
      <c r="X45" s="1264"/>
      <c r="Y45" s="3367"/>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1"/>
      <c r="M46" s="2486"/>
      <c r="N46" s="2486"/>
      <c r="O46" s="2486"/>
      <c r="P46" s="3406"/>
      <c r="Q46" s="1262">
        <f t="shared" si="11"/>
        <v>111</v>
      </c>
      <c r="R46" s="667" t="s">
        <v>17</v>
      </c>
      <c r="S46" s="668">
        <f t="shared" si="12"/>
        <v>100</v>
      </c>
      <c r="T46" s="667" t="s">
        <v>17</v>
      </c>
      <c r="U46" s="668">
        <f t="shared" si="13"/>
        <v>100</v>
      </c>
      <c r="V46" s="667" t="s">
        <v>17</v>
      </c>
      <c r="W46" s="668">
        <f t="shared" si="14"/>
        <v>100</v>
      </c>
      <c r="X46" s="1264"/>
      <c r="Y46" s="3407"/>
      <c r="Z46" s="1263">
        <f t="shared" si="18"/>
        <v>111</v>
      </c>
      <c r="AA46" s="1263">
        <f t="shared" si="15"/>
        <v>1</v>
      </c>
      <c r="AB46" s="1263">
        <f t="shared" si="16"/>
        <v>1</v>
      </c>
      <c r="AC46" s="1263">
        <f t="shared" si="17"/>
        <v>1</v>
      </c>
    </row>
    <row r="47" spans="1:29" ht="15">
      <c r="A47" s="416" t="s">
        <v>1708</v>
      </c>
      <c r="B47" s="417"/>
      <c r="C47" s="1081" t="s">
        <v>16</v>
      </c>
      <c r="D47" s="418"/>
      <c r="E47" s="419"/>
      <c r="F47" s="420"/>
      <c r="G47" s="421"/>
      <c r="H47" s="422"/>
      <c r="I47" s="419"/>
      <c r="J47" s="422"/>
      <c r="K47" s="1766"/>
      <c r="L47" s="2493"/>
      <c r="M47" s="2486"/>
      <c r="N47" s="2486"/>
      <c r="O47" s="2486"/>
      <c r="P47" s="3349" t="str">
        <f>A47</f>
        <v>成交单价（元/平方米）</v>
      </c>
      <c r="Q47" s="3349"/>
      <c r="R47" s="3362">
        <f>E47</f>
        <v>0</v>
      </c>
      <c r="S47" s="3362"/>
      <c r="T47" s="3362">
        <f>G47</f>
        <v>0</v>
      </c>
      <c r="U47" s="3362"/>
      <c r="V47" s="3362">
        <f>I47</f>
        <v>0</v>
      </c>
      <c r="W47" s="3362"/>
      <c r="X47" s="385"/>
      <c r="Y47" s="673"/>
      <c r="Z47" s="385"/>
      <c r="AA47" s="385"/>
      <c r="AB47" s="385"/>
      <c r="AC47" s="385"/>
    </row>
    <row r="48" spans="1:29" ht="15.75" thickBot="1">
      <c r="A48" s="423" t="s">
        <v>1709</v>
      </c>
      <c r="B48" s="424"/>
      <c r="C48" s="1082" t="e">
        <f>R49</f>
        <v>#DIV/0!</v>
      </c>
      <c r="D48" s="2140" t="s">
        <v>2138</v>
      </c>
      <c r="E48" s="1083" t="e">
        <f>R48</f>
        <v>#DIV/0!</v>
      </c>
      <c r="F48" s="2141"/>
      <c r="G48" s="1082" t="e">
        <f>T48</f>
        <v>#DIV/0!</v>
      </c>
      <c r="H48" s="2141"/>
      <c r="I48" s="1083" t="e">
        <f>V48</f>
        <v>#DIV/0!</v>
      </c>
      <c r="J48" s="2141"/>
      <c r="K48" s="2142">
        <f>F48+H48+J48</f>
        <v>0</v>
      </c>
      <c r="L48" s="2493"/>
      <c r="M48" s="2486"/>
      <c r="N48" s="2486"/>
      <c r="O48" s="2486"/>
      <c r="P48" s="3349" t="str">
        <f>A48</f>
        <v>比较价值（元/平方米）</v>
      </c>
      <c r="Q48" s="3349"/>
      <c r="R48" s="3362" t="e">
        <f>IF(F1="售价",ROUND(PRODUCT(R47,AA7:AA46),0),ROUND(PRODUCT(R47,AA7:AA46),1))</f>
        <v>#DIV/0!</v>
      </c>
      <c r="S48" s="3362"/>
      <c r="T48" s="3362" t="e">
        <f>IF(F1="售价",ROUND(PRODUCT(T47,AB7:AB46),0),ROUND(PRODUCT(T47,AB7:AB46),1))</f>
        <v>#DIV/0!</v>
      </c>
      <c r="U48" s="3362"/>
      <c r="V48" s="3362" t="e">
        <f>IF(F1="售价",ROUND(PRODUCT(V47,AC7:AC46),0),ROUND(PRODUCT(V47,AC7:AC46),1))</f>
        <v>#DIV/0!</v>
      </c>
      <c r="W48" s="3362"/>
      <c r="X48" s="385"/>
      <c r="Y48" s="385"/>
      <c r="Z48" s="385"/>
      <c r="AA48" s="385"/>
      <c r="AB48" s="385"/>
      <c r="AC48" s="385"/>
    </row>
    <row r="49" spans="1:29" ht="15.75" thickBot="1">
      <c r="A49" s="427" t="s">
        <v>1710</v>
      </c>
      <c r="B49" s="428"/>
      <c r="C49" s="1084" t="e">
        <f>R49</f>
        <v>#DIV/0!</v>
      </c>
      <c r="D49" s="351"/>
      <c r="E49" s="351"/>
      <c r="F49" s="351"/>
      <c r="G49" s="351"/>
      <c r="H49" s="351"/>
      <c r="I49" s="351"/>
      <c r="J49" s="351"/>
      <c r="K49" s="1767"/>
      <c r="L49" s="2493"/>
      <c r="M49" s="2486"/>
      <c r="N49" s="2486"/>
      <c r="O49" s="2486"/>
      <c r="P49" s="3369" t="str">
        <f>A49</f>
        <v>估价对象XX用房的比较价值（楼面单价，元/平方米）</v>
      </c>
      <c r="Q49" s="3370"/>
      <c r="R49" s="3403" t="e">
        <f>IF(F1="售价",ROUND(IF(D48="简单平均",AVERAGE(R48:V48),R48*F48+T48*H48+V48*J48),0),ROUND(IF(D48="简单平均",AVERAGE(R48:V48),R48*F48+T48*H48+V48*J48),1))</f>
        <v>#DIV/0!</v>
      </c>
      <c r="S49" s="3403"/>
      <c r="T49" s="3403"/>
      <c r="U49" s="3403"/>
      <c r="V49" s="3403"/>
      <c r="W49" s="3403"/>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69"/>
    </row>
    <row r="55" spans="1:29" s="437" customFormat="1">
      <c r="A55" s="2496"/>
      <c r="B55" s="2499"/>
      <c r="C55" s="2500"/>
      <c r="D55" s="2496"/>
      <c r="E55" s="2496"/>
      <c r="F55" s="2496"/>
      <c r="G55" s="2496"/>
      <c r="H55" s="2496"/>
      <c r="I55" s="2496"/>
      <c r="J55" s="2496"/>
      <c r="K55" s="2501"/>
      <c r="L55" s="2495"/>
      <c r="M55" s="2496"/>
      <c r="N55" s="2496"/>
      <c r="O55" s="2496"/>
      <c r="P55" s="1769"/>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4" t="str">
        <f>YEAR(C7)&amp;"-"&amp;MONTH(C7)</f>
        <v>2024-9</v>
      </c>
      <c r="D58" s="1103">
        <f>EDATE(C58,-1)</f>
        <v>45505</v>
      </c>
      <c r="E58" s="1103">
        <f>EDATE(D58,-1)</f>
        <v>45474</v>
      </c>
      <c r="F58" s="1103">
        <f t="shared" ref="F58:O58" si="19">EDATE(E58,-1)</f>
        <v>45444</v>
      </c>
      <c r="G58" s="1103">
        <f t="shared" si="19"/>
        <v>45413</v>
      </c>
      <c r="H58" s="1103">
        <f t="shared" si="19"/>
        <v>45383</v>
      </c>
      <c r="I58" s="1103">
        <f t="shared" si="19"/>
        <v>45352</v>
      </c>
      <c r="J58" s="1103">
        <f t="shared" si="19"/>
        <v>45323</v>
      </c>
      <c r="K58" s="1103">
        <f t="shared" si="19"/>
        <v>45292</v>
      </c>
      <c r="L58" s="1103">
        <f t="shared" si="19"/>
        <v>45261</v>
      </c>
      <c r="M58" s="1103">
        <f t="shared" si="19"/>
        <v>45231</v>
      </c>
      <c r="N58" s="1103">
        <f t="shared" si="19"/>
        <v>45200</v>
      </c>
      <c r="O58" s="1103">
        <f t="shared" si="19"/>
        <v>45170</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f>C9</f>
        <v>0</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c r="D68" s="480"/>
      <c r="E68" s="480"/>
      <c r="F68" s="480"/>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1735</v>
      </c>
      <c r="C88" s="485"/>
      <c r="D88" s="485"/>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5.75" thickTop="1">
      <c r="A90" s="484"/>
      <c r="B90" s="469">
        <f>B27</f>
        <v>111</v>
      </c>
      <c r="C90" s="485"/>
      <c r="D90" s="485"/>
      <c r="E90" s="485"/>
      <c r="F90" s="485"/>
      <c r="G90" s="485"/>
      <c r="H90" s="486"/>
      <c r="I90" s="486"/>
      <c r="J90" s="486"/>
      <c r="K90" s="486"/>
      <c r="L90" s="487"/>
      <c r="M90" s="488"/>
      <c r="N90" s="881"/>
      <c r="O90" s="881"/>
      <c r="P90" s="1775"/>
      <c r="Q90" s="490"/>
    </row>
    <row r="91" spans="1:17" s="408" customFormat="1" ht="15.75" thickBot="1">
      <c r="A91" s="484"/>
      <c r="B91" s="474"/>
      <c r="C91" s="491"/>
      <c r="D91" s="491"/>
      <c r="E91" s="491"/>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462"/>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c r="D103" s="6"/>
      <c r="E103" s="6"/>
      <c r="F103" s="6"/>
      <c r="G103" s="6"/>
      <c r="H103" s="6"/>
      <c r="I103" s="6"/>
      <c r="J103" s="524"/>
      <c r="K103" s="524"/>
      <c r="L103" s="525"/>
      <c r="M103" s="526"/>
      <c r="N103" s="881"/>
      <c r="O103" s="881"/>
      <c r="P103" s="1775"/>
      <c r="Q103" s="490"/>
    </row>
    <row r="104" spans="1:17" s="408" customFormat="1" ht="15.75" thickBot="1">
      <c r="A104" s="484"/>
      <c r="B104" s="474"/>
      <c r="C104" s="491"/>
      <c r="D104" s="467"/>
      <c r="E104" s="467"/>
      <c r="F104" s="467"/>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E9 G9 I9" xr:uid="{00000000-0002-0000-1C00-000011000000}">
      <formula1>住宅用途</formula1>
    </dataValidation>
    <dataValidation type="list" allowBlank="1" showInputMessage="1" showErrorMessage="1" sqref="C22 E22 G22 I22" xr:uid="{00000000-0002-0000-1C00-000012000000}">
      <formula1>基础设施水平</formula1>
    </dataValidation>
    <dataValidation type="list" allowBlank="1" showInputMessage="1" showErrorMessage="1" sqref="F1" xr:uid="{00000000-0002-0000-1C00-000013000000}">
      <formula1>"售价,租金"</formula1>
    </dataValidation>
    <dataValidation type="list" allowBlank="1" showInputMessage="1" showErrorMessage="1" sqref="C2" xr:uid="{00000000-0002-0000-1C00-000014000000}">
      <formula1>"需扣减承租人权益,——"</formula1>
    </dataValidation>
    <dataValidation type="list" allowBlank="1" showInputMessage="1" showErrorMessage="1" sqref="F2" xr:uid="{00000000-0002-0000-1C00-000015000000}">
      <formula1>估价方法</formula1>
    </dataValidation>
    <dataValidation type="list" allowBlank="1" showInputMessage="1" showErrorMessage="1" sqref="D48" xr:uid="{00000000-0002-0000-1C00-000016000000}">
      <formula1>"简单平均,加权平均"</formula1>
    </dataValidation>
    <dataValidation type="list" allowBlank="1" showInputMessage="1" showErrorMessage="1" sqref="E1" xr:uid="{00000000-0002-0000-1C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3"/>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2"/>
      <c r="M2" s="2503"/>
      <c r="N2" s="2503"/>
      <c r="O2" s="2503"/>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2375.33</v>
      </c>
      <c r="E3" s="1804"/>
      <c r="F3" s="856"/>
      <c r="G3" s="855"/>
      <c r="H3" s="855"/>
      <c r="I3" s="855"/>
      <c r="J3" s="855"/>
      <c r="K3" s="857"/>
      <c r="L3" s="2502"/>
      <c r="M3" s="2503"/>
      <c r="N3" s="2503"/>
      <c r="O3" s="2503"/>
      <c r="P3" s="1803"/>
      <c r="Q3" s="859"/>
      <c r="R3" s="859"/>
      <c r="S3" s="859"/>
      <c r="T3" s="859"/>
      <c r="U3" s="859"/>
      <c r="V3" s="859"/>
      <c r="W3" s="859"/>
      <c r="X3" s="859"/>
      <c r="Y3" s="859"/>
      <c r="Z3" s="859"/>
      <c r="AA3" s="859"/>
      <c r="AB3" s="859"/>
      <c r="AC3" s="1804"/>
    </row>
    <row r="4" spans="1:29" ht="15">
      <c r="A4" s="345" t="s">
        <v>1769</v>
      </c>
      <c r="B4" s="346"/>
      <c r="C4" s="3350" t="s">
        <v>1770</v>
      </c>
      <c r="D4" s="3351"/>
      <c r="E4" s="3352" t="s">
        <v>1771</v>
      </c>
      <c r="F4" s="3353"/>
      <c r="G4" s="3350" t="s">
        <v>1772</v>
      </c>
      <c r="H4" s="3351"/>
      <c r="I4" s="3350" t="s">
        <v>1773</v>
      </c>
      <c r="J4" s="3351"/>
      <c r="K4" s="537" t="s">
        <v>1774</v>
      </c>
      <c r="L4" s="2485"/>
      <c r="M4" s="2486"/>
      <c r="N4" s="2486"/>
      <c r="O4" s="2486"/>
      <c r="P4" s="3354" t="s">
        <v>1775</v>
      </c>
      <c r="Q4" s="3355"/>
      <c r="R4" s="3337" t="s">
        <v>1771</v>
      </c>
      <c r="S4" s="3338"/>
      <c r="T4" s="3337" t="s">
        <v>1772</v>
      </c>
      <c r="U4" s="3338"/>
      <c r="V4" s="3362" t="s">
        <v>1773</v>
      </c>
      <c r="W4" s="3362"/>
      <c r="X4" s="1264"/>
      <c r="Y4" s="3337" t="s">
        <v>1775</v>
      </c>
      <c r="Z4" s="3338"/>
      <c r="AA4" s="3332" t="s">
        <v>1771</v>
      </c>
      <c r="AB4" s="3362" t="s">
        <v>1772</v>
      </c>
      <c r="AC4" s="3332" t="s">
        <v>1773</v>
      </c>
    </row>
    <row r="5" spans="1:29" ht="15">
      <c r="A5" s="348"/>
      <c r="B5" s="349"/>
      <c r="C5" s="3343" t="s">
        <v>1673</v>
      </c>
      <c r="D5" s="3344"/>
      <c r="E5" s="3341" t="s">
        <v>1674</v>
      </c>
      <c r="F5" s="3342"/>
      <c r="G5" s="3343" t="s">
        <v>1675</v>
      </c>
      <c r="H5" s="3344"/>
      <c r="I5" s="3343" t="s">
        <v>1676</v>
      </c>
      <c r="J5" s="3344"/>
      <c r="K5" s="537"/>
      <c r="L5" s="2485"/>
      <c r="M5" s="2486"/>
      <c r="N5" s="2486"/>
      <c r="O5" s="2486"/>
      <c r="P5" s="3356"/>
      <c r="Q5" s="3357"/>
      <c r="R5" s="3339"/>
      <c r="S5" s="3340"/>
      <c r="T5" s="3339"/>
      <c r="U5" s="3340"/>
      <c r="V5" s="3362"/>
      <c r="W5" s="3362"/>
      <c r="X5" s="1264"/>
      <c r="Y5" s="3339"/>
      <c r="Z5" s="3340"/>
      <c r="AA5" s="3333"/>
      <c r="AB5" s="3362"/>
      <c r="AC5" s="3333"/>
    </row>
    <row r="6" spans="1:29" ht="15.75" thickBot="1">
      <c r="A6" s="350"/>
      <c r="B6" s="351"/>
      <c r="C6" s="3345" t="s">
        <v>1677</v>
      </c>
      <c r="D6" s="3346"/>
      <c r="E6" s="3347" t="s">
        <v>1677</v>
      </c>
      <c r="F6" s="3348"/>
      <c r="G6" s="3345" t="s">
        <v>1677</v>
      </c>
      <c r="H6" s="3346"/>
      <c r="I6" s="3345" t="s">
        <v>1677</v>
      </c>
      <c r="J6" s="3346"/>
      <c r="K6" s="537" t="s">
        <v>1678</v>
      </c>
      <c r="L6" s="2485"/>
      <c r="M6" s="2486"/>
      <c r="N6" s="2486"/>
      <c r="O6" s="2486"/>
      <c r="P6" s="3358"/>
      <c r="Q6" s="3359"/>
      <c r="R6" s="3339"/>
      <c r="S6" s="3340"/>
      <c r="T6" s="3360"/>
      <c r="U6" s="3361"/>
      <c r="V6" s="3362"/>
      <c r="W6" s="3362"/>
      <c r="X6" s="1264"/>
      <c r="Y6" s="3360"/>
      <c r="Z6" s="3361"/>
      <c r="AA6" s="3334"/>
      <c r="AB6" s="3362"/>
      <c r="AC6" s="3334"/>
    </row>
    <row r="7" spans="1:29" s="102" customFormat="1" ht="15.75" thickBot="1">
      <c r="A7" s="352" t="s">
        <v>1679</v>
      </c>
      <c r="B7" s="353"/>
      <c r="C7" s="354">
        <f>'数据-取费表'!B2</f>
        <v>45544</v>
      </c>
      <c r="D7" s="355">
        <v>100</v>
      </c>
      <c r="E7" s="356"/>
      <c r="F7" s="357">
        <f>SUMIF(58:58,YEAR(E7)&amp;"-"&amp;MONTH(E7),59:59)</f>
        <v>0</v>
      </c>
      <c r="G7" s="356"/>
      <c r="H7" s="355">
        <f>SUMIF(58:58,YEAR(G7)&amp;"-"&amp;MONTH(G7),59:59)</f>
        <v>0</v>
      </c>
      <c r="I7" s="356"/>
      <c r="J7" s="355">
        <f>SUMIF(58:58,YEAR(I7)&amp;"-"&amp;MONTH(I7),59:59)</f>
        <v>0</v>
      </c>
      <c r="K7" s="38"/>
      <c r="L7" s="2487"/>
      <c r="M7" s="2439"/>
      <c r="N7" s="2439"/>
      <c r="O7" s="2439"/>
      <c r="P7" s="3335" t="s">
        <v>1680</v>
      </c>
      <c r="Q7" s="3363"/>
      <c r="R7" s="664" t="s">
        <v>14</v>
      </c>
      <c r="S7" s="665">
        <f t="shared" ref="S7:S15" si="0">F7</f>
        <v>0</v>
      </c>
      <c r="T7" s="664" t="s">
        <v>14</v>
      </c>
      <c r="U7" s="665">
        <f t="shared" ref="U7:U15" si="1">H7</f>
        <v>0</v>
      </c>
      <c r="V7" s="664" t="s">
        <v>14</v>
      </c>
      <c r="W7" s="665">
        <f t="shared" ref="W7:W15" si="2">J7</f>
        <v>0</v>
      </c>
      <c r="X7" s="666"/>
      <c r="Y7" s="3335" t="s">
        <v>1680</v>
      </c>
      <c r="Z7" s="3336"/>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335" t="s">
        <v>1683</v>
      </c>
      <c r="Q8" s="3336"/>
      <c r="R8" s="664" t="s">
        <v>14</v>
      </c>
      <c r="S8" s="665">
        <f t="shared" si="0"/>
        <v>100</v>
      </c>
      <c r="T8" s="664" t="s">
        <v>14</v>
      </c>
      <c r="U8" s="665">
        <f t="shared" si="1"/>
        <v>100</v>
      </c>
      <c r="V8" s="664" t="s">
        <v>14</v>
      </c>
      <c r="W8" s="665">
        <f t="shared" si="2"/>
        <v>100</v>
      </c>
      <c r="X8" s="666"/>
      <c r="Y8" s="3335" t="s">
        <v>1683</v>
      </c>
      <c r="Z8" s="3336"/>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73" t="s">
        <v>1686</v>
      </c>
      <c r="Q9" s="530" t="str">
        <f t="shared" ref="Q9:Q15" si="6">B9</f>
        <v>用途</v>
      </c>
      <c r="R9" s="664" t="s">
        <v>14</v>
      </c>
      <c r="S9" s="665">
        <f t="shared" si="0"/>
        <v>100</v>
      </c>
      <c r="T9" s="664" t="s">
        <v>14</v>
      </c>
      <c r="U9" s="665">
        <f t="shared" si="1"/>
        <v>100</v>
      </c>
      <c r="V9" s="664" t="s">
        <v>14</v>
      </c>
      <c r="W9" s="665">
        <f t="shared" si="2"/>
        <v>100</v>
      </c>
      <c r="X9" s="666"/>
      <c r="Y9" s="3308"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73"/>
      <c r="Q10" s="530" t="str">
        <f t="shared" si="6"/>
        <v>土地使用年限（年）</v>
      </c>
      <c r="R10" s="664" t="s">
        <v>14</v>
      </c>
      <c r="S10" s="665">
        <f t="shared" si="0"/>
        <v>100</v>
      </c>
      <c r="T10" s="664" t="s">
        <v>14</v>
      </c>
      <c r="U10" s="665">
        <f t="shared" si="1"/>
        <v>100</v>
      </c>
      <c r="V10" s="664" t="s">
        <v>14</v>
      </c>
      <c r="W10" s="665">
        <f t="shared" si="2"/>
        <v>100</v>
      </c>
      <c r="X10" s="666"/>
      <c r="Y10" s="330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73"/>
      <c r="Q11" s="530" t="str">
        <f t="shared" si="6"/>
        <v>容积率</v>
      </c>
      <c r="R11" s="664" t="s">
        <v>14</v>
      </c>
      <c r="S11" s="665" t="e">
        <f t="shared" si="0"/>
        <v>#N/A</v>
      </c>
      <c r="T11" s="664" t="s">
        <v>14</v>
      </c>
      <c r="U11" s="665" t="e">
        <f t="shared" si="1"/>
        <v>#N/A</v>
      </c>
      <c r="V11" s="664" t="s">
        <v>14</v>
      </c>
      <c r="W11" s="665" t="e">
        <f t="shared" si="2"/>
        <v>#N/A</v>
      </c>
      <c r="X11" s="666"/>
      <c r="Y11" s="3308"/>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73"/>
      <c r="Q12" s="530">
        <f t="shared" si="6"/>
        <v>111</v>
      </c>
      <c r="R12" s="664" t="s">
        <v>14</v>
      </c>
      <c r="S12" s="665">
        <f t="shared" si="0"/>
        <v>100</v>
      </c>
      <c r="T12" s="664" t="s">
        <v>14</v>
      </c>
      <c r="U12" s="665">
        <f t="shared" si="1"/>
        <v>100</v>
      </c>
      <c r="V12" s="664" t="s">
        <v>14</v>
      </c>
      <c r="W12" s="665">
        <f t="shared" si="2"/>
        <v>100</v>
      </c>
      <c r="X12" s="666"/>
      <c r="Y12" s="330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73"/>
      <c r="Q13" s="530">
        <f t="shared" si="6"/>
        <v>111</v>
      </c>
      <c r="R13" s="664" t="s">
        <v>14</v>
      </c>
      <c r="S13" s="665">
        <f t="shared" si="0"/>
        <v>100</v>
      </c>
      <c r="T13" s="664" t="s">
        <v>14</v>
      </c>
      <c r="U13" s="665">
        <f t="shared" si="1"/>
        <v>100</v>
      </c>
      <c r="V13" s="664" t="s">
        <v>14</v>
      </c>
      <c r="W13" s="665">
        <f t="shared" si="2"/>
        <v>100</v>
      </c>
      <c r="X13" s="666"/>
      <c r="Y13" s="3308"/>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73"/>
      <c r="Q14" s="530">
        <f t="shared" si="6"/>
        <v>111</v>
      </c>
      <c r="R14" s="664" t="s">
        <v>14</v>
      </c>
      <c r="S14" s="665">
        <f t="shared" si="0"/>
        <v>100</v>
      </c>
      <c r="T14" s="664" t="s">
        <v>14</v>
      </c>
      <c r="U14" s="665">
        <f t="shared" si="1"/>
        <v>100</v>
      </c>
      <c r="V14" s="664" t="s">
        <v>14</v>
      </c>
      <c r="W14" s="665">
        <f t="shared" si="2"/>
        <v>100</v>
      </c>
      <c r="X14" s="666"/>
      <c r="Y14" s="3308"/>
      <c r="Z14" s="50">
        <f t="shared" si="7"/>
        <v>111</v>
      </c>
      <c r="AA14" s="50">
        <f t="shared" si="3"/>
        <v>1</v>
      </c>
      <c r="AB14" s="50">
        <f t="shared" si="4"/>
        <v>1</v>
      </c>
      <c r="AC14" s="50">
        <f t="shared" si="5"/>
        <v>1</v>
      </c>
    </row>
    <row r="15" spans="1:29" ht="15">
      <c r="A15" s="379" t="s">
        <v>1690</v>
      </c>
      <c r="B15" s="58" t="s">
        <v>1777</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08" t="s">
        <v>1691</v>
      </c>
      <c r="Q15" s="1262" t="str">
        <f t="shared" si="6"/>
        <v>商业繁华度</v>
      </c>
      <c r="R15" s="667" t="s">
        <v>14</v>
      </c>
      <c r="S15" s="668">
        <f t="shared" si="0"/>
        <v>100</v>
      </c>
      <c r="T15" s="667" t="s">
        <v>14</v>
      </c>
      <c r="U15" s="668">
        <f t="shared" si="1"/>
        <v>100</v>
      </c>
      <c r="V15" s="667" t="s">
        <v>14</v>
      </c>
      <c r="W15" s="668">
        <f t="shared" si="2"/>
        <v>100</v>
      </c>
      <c r="X15" s="1264"/>
      <c r="Y15" s="3364"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1"/>
      <c r="M16" s="2486"/>
      <c r="N16" s="2486"/>
      <c r="O16" s="2486"/>
      <c r="P16" s="3409"/>
      <c r="Q16" s="1262"/>
      <c r="R16" s="667"/>
      <c r="S16" s="668"/>
      <c r="T16" s="667"/>
      <c r="U16" s="668"/>
      <c r="V16" s="667"/>
      <c r="W16" s="668"/>
      <c r="X16" s="1264"/>
      <c r="Y16" s="3365"/>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09"/>
      <c r="Q17" s="1262" t="str">
        <f>B17</f>
        <v>交通便捷度</v>
      </c>
      <c r="R17" s="667" t="s">
        <v>14</v>
      </c>
      <c r="S17" s="668">
        <f>F17</f>
        <v>100</v>
      </c>
      <c r="T17" s="667" t="s">
        <v>14</v>
      </c>
      <c r="U17" s="668">
        <f>H17</f>
        <v>100</v>
      </c>
      <c r="V17" s="667" t="s">
        <v>14</v>
      </c>
      <c r="W17" s="668">
        <f>J17</f>
        <v>100</v>
      </c>
      <c r="X17" s="1264"/>
      <c r="Y17" s="3365"/>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1"/>
      <c r="M18" s="2486"/>
      <c r="N18" s="2486"/>
      <c r="O18" s="2486"/>
      <c r="P18" s="3409"/>
      <c r="Q18" s="1262"/>
      <c r="R18" s="667"/>
      <c r="S18" s="668"/>
      <c r="T18" s="667"/>
      <c r="U18" s="668"/>
      <c r="V18" s="667"/>
      <c r="W18" s="668"/>
      <c r="X18" s="1264"/>
      <c r="Y18" s="3365"/>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09"/>
      <c r="Q19" s="1262" t="str">
        <f>B19</f>
        <v>公共配套设施</v>
      </c>
      <c r="R19" s="667" t="s">
        <v>14</v>
      </c>
      <c r="S19" s="668">
        <f>F19</f>
        <v>100</v>
      </c>
      <c r="T19" s="667" t="s">
        <v>14</v>
      </c>
      <c r="U19" s="668">
        <f>H19</f>
        <v>100</v>
      </c>
      <c r="V19" s="667" t="s">
        <v>14</v>
      </c>
      <c r="W19" s="668">
        <f>J19</f>
        <v>100</v>
      </c>
      <c r="X19" s="1264"/>
      <c r="Y19" s="3365"/>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1"/>
      <c r="M20" s="2486"/>
      <c r="N20" s="2486"/>
      <c r="O20" s="2486"/>
      <c r="P20" s="3409"/>
      <c r="Q20" s="1262"/>
      <c r="R20" s="667"/>
      <c r="S20" s="668"/>
      <c r="T20" s="667"/>
      <c r="U20" s="668"/>
      <c r="V20" s="667"/>
      <c r="W20" s="668"/>
      <c r="X20" s="1264"/>
      <c r="Y20" s="3365"/>
      <c r="Z20" s="1263"/>
      <c r="AA20" s="1263">
        <v>1</v>
      </c>
      <c r="AB20" s="1263">
        <v>1</v>
      </c>
      <c r="AC20" s="1263">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09"/>
      <c r="Q21" s="1262" t="str">
        <f>B21</f>
        <v>基础设施水平</v>
      </c>
      <c r="R21" s="667" t="s">
        <v>14</v>
      </c>
      <c r="S21" s="668">
        <f>F21</f>
        <v>100</v>
      </c>
      <c r="T21" s="667" t="s">
        <v>14</v>
      </c>
      <c r="U21" s="668">
        <f>H21</f>
        <v>100</v>
      </c>
      <c r="V21" s="667" t="s">
        <v>14</v>
      </c>
      <c r="W21" s="668">
        <f>J21</f>
        <v>100</v>
      </c>
      <c r="X21" s="1264"/>
      <c r="Y21" s="3365"/>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91"/>
      <c r="M22" s="2486"/>
      <c r="N22" s="2486"/>
      <c r="O22" s="2486"/>
      <c r="P22" s="3409"/>
      <c r="Q22" s="1262"/>
      <c r="R22" s="667"/>
      <c r="S22" s="668"/>
      <c r="T22" s="667"/>
      <c r="U22" s="668"/>
      <c r="V22" s="667"/>
      <c r="W22" s="668"/>
      <c r="X22" s="1264"/>
      <c r="Y22" s="3365"/>
      <c r="Z22" s="1263"/>
      <c r="AA22" s="1263">
        <v>1</v>
      </c>
      <c r="AB22" s="1263">
        <v>1</v>
      </c>
      <c r="AC22" s="1263">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09"/>
      <c r="Q23" s="1262" t="str">
        <f>B23</f>
        <v>自然及人文环境</v>
      </c>
      <c r="R23" s="667" t="s">
        <v>14</v>
      </c>
      <c r="S23" s="668">
        <f>F23</f>
        <v>100</v>
      </c>
      <c r="T23" s="667" t="s">
        <v>14</v>
      </c>
      <c r="U23" s="668">
        <f>H23</f>
        <v>100</v>
      </c>
      <c r="V23" s="667" t="s">
        <v>14</v>
      </c>
      <c r="W23" s="668">
        <f>J23</f>
        <v>100</v>
      </c>
      <c r="X23" s="1264"/>
      <c r="Y23" s="3365"/>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1"/>
      <c r="M24" s="2486"/>
      <c r="N24" s="2486"/>
      <c r="O24" s="2486"/>
      <c r="P24" s="3409"/>
      <c r="Q24" s="1262"/>
      <c r="R24" s="667"/>
      <c r="S24" s="668"/>
      <c r="T24" s="667"/>
      <c r="U24" s="668"/>
      <c r="V24" s="667"/>
      <c r="W24" s="668"/>
      <c r="X24" s="1264"/>
      <c r="Y24" s="3365"/>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09"/>
      <c r="Q25" s="1262" t="str">
        <f t="shared" ref="Q25:Q46" si="11">B25</f>
        <v>临街状况</v>
      </c>
      <c r="R25" s="667" t="s">
        <v>14</v>
      </c>
      <c r="S25" s="668">
        <f>F25</f>
        <v>100</v>
      </c>
      <c r="T25" s="667" t="s">
        <v>14</v>
      </c>
      <c r="U25" s="668">
        <f>H25</f>
        <v>100</v>
      </c>
      <c r="V25" s="667" t="s">
        <v>14</v>
      </c>
      <c r="W25" s="668">
        <f>J25</f>
        <v>100</v>
      </c>
      <c r="X25" s="1264"/>
      <c r="Y25" s="3365"/>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09"/>
      <c r="Q26" s="1262" t="str">
        <f t="shared" si="11"/>
        <v>平面位置/可视性</v>
      </c>
      <c r="R26" s="667" t="s">
        <v>14</v>
      </c>
      <c r="S26" s="668">
        <f>F26</f>
        <v>100</v>
      </c>
      <c r="T26" s="667" t="s">
        <v>14</v>
      </c>
      <c r="U26" s="668">
        <f>H26</f>
        <v>100</v>
      </c>
      <c r="V26" s="667" t="s">
        <v>14</v>
      </c>
      <c r="W26" s="668">
        <f>J26</f>
        <v>100</v>
      </c>
      <c r="X26" s="1264"/>
      <c r="Y26" s="3365"/>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7"/>
      <c r="M27" s="2439"/>
      <c r="N27" s="2439"/>
      <c r="O27" s="2439"/>
      <c r="P27" s="3409"/>
      <c r="Q27" s="530" t="str">
        <f t="shared" si="11"/>
        <v>人流量</v>
      </c>
      <c r="R27" s="664" t="s">
        <v>14</v>
      </c>
      <c r="S27" s="665">
        <f>F27</f>
        <v>100</v>
      </c>
      <c r="T27" s="664" t="s">
        <v>14</v>
      </c>
      <c r="U27" s="665">
        <f>H27</f>
        <v>100</v>
      </c>
      <c r="V27" s="664" t="s">
        <v>14</v>
      </c>
      <c r="W27" s="665">
        <f>J27</f>
        <v>100</v>
      </c>
      <c r="X27" s="666"/>
      <c r="Y27" s="3365"/>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09"/>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365"/>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09"/>
      <c r="Q29" s="1262">
        <f t="shared" si="11"/>
        <v>111</v>
      </c>
      <c r="R29" s="667" t="s">
        <v>14</v>
      </c>
      <c r="S29" s="668">
        <f t="shared" si="12"/>
        <v>100</v>
      </c>
      <c r="T29" s="667" t="s">
        <v>14</v>
      </c>
      <c r="U29" s="668">
        <f t="shared" si="13"/>
        <v>100</v>
      </c>
      <c r="V29" s="667" t="s">
        <v>14</v>
      </c>
      <c r="W29" s="668">
        <f t="shared" si="14"/>
        <v>100</v>
      </c>
      <c r="X29" s="1264"/>
      <c r="Y29" s="3365"/>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09"/>
      <c r="Q30" s="1262">
        <f t="shared" si="11"/>
        <v>111</v>
      </c>
      <c r="R30" s="667" t="s">
        <v>14</v>
      </c>
      <c r="S30" s="668">
        <f t="shared" si="12"/>
        <v>100</v>
      </c>
      <c r="T30" s="667" t="s">
        <v>14</v>
      </c>
      <c r="U30" s="668">
        <f t="shared" si="13"/>
        <v>100</v>
      </c>
      <c r="V30" s="667" t="s">
        <v>14</v>
      </c>
      <c r="W30" s="668">
        <f t="shared" si="14"/>
        <v>100</v>
      </c>
      <c r="X30" s="1264"/>
      <c r="Y30" s="3365"/>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09"/>
      <c r="Q31" s="1262">
        <f t="shared" si="11"/>
        <v>111</v>
      </c>
      <c r="R31" s="667" t="s">
        <v>14</v>
      </c>
      <c r="S31" s="668">
        <f t="shared" si="12"/>
        <v>100</v>
      </c>
      <c r="T31" s="667" t="s">
        <v>14</v>
      </c>
      <c r="U31" s="668">
        <f t="shared" si="13"/>
        <v>100</v>
      </c>
      <c r="V31" s="667" t="s">
        <v>14</v>
      </c>
      <c r="W31" s="668">
        <f t="shared" si="14"/>
        <v>100</v>
      </c>
      <c r="X31" s="1264"/>
      <c r="Y31" s="3365"/>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1"/>
      <c r="M32" s="2486"/>
      <c r="N32" s="2486"/>
      <c r="O32" s="2486"/>
      <c r="P32" s="3404" t="s">
        <v>1696</v>
      </c>
      <c r="Q32" s="1262" t="str">
        <f t="shared" si="11"/>
        <v>商业类型</v>
      </c>
      <c r="R32" s="667" t="s">
        <v>14</v>
      </c>
      <c r="S32" s="668">
        <f t="shared" si="12"/>
        <v>100</v>
      </c>
      <c r="T32" s="667" t="s">
        <v>14</v>
      </c>
      <c r="U32" s="668">
        <f t="shared" si="13"/>
        <v>100</v>
      </c>
      <c r="V32" s="667" t="s">
        <v>14</v>
      </c>
      <c r="W32" s="668">
        <f t="shared" si="14"/>
        <v>100</v>
      </c>
      <c r="X32" s="1264"/>
      <c r="Y32" s="3367"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05"/>
      <c r="Q33" s="531" t="str">
        <f t="shared" si="11"/>
        <v>项目建筑规模</v>
      </c>
      <c r="R33" s="669" t="s">
        <v>14</v>
      </c>
      <c r="S33" s="670" t="e">
        <f t="shared" si="12"/>
        <v>#N/A</v>
      </c>
      <c r="T33" s="669" t="s">
        <v>14</v>
      </c>
      <c r="U33" s="670" t="e">
        <f t="shared" si="13"/>
        <v>#N/A</v>
      </c>
      <c r="V33" s="669" t="s">
        <v>14</v>
      </c>
      <c r="W33" s="670" t="e">
        <f t="shared" si="14"/>
        <v>#N/A</v>
      </c>
      <c r="X33" s="671"/>
      <c r="Y33" s="3367"/>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05"/>
      <c r="Q34" s="1262" t="str">
        <f t="shared" si="11"/>
        <v>建筑结构</v>
      </c>
      <c r="R34" s="667" t="s">
        <v>14</v>
      </c>
      <c r="S34" s="668">
        <f t="shared" si="12"/>
        <v>100</v>
      </c>
      <c r="T34" s="667" t="s">
        <v>14</v>
      </c>
      <c r="U34" s="668">
        <f t="shared" si="13"/>
        <v>100</v>
      </c>
      <c r="V34" s="667" t="s">
        <v>14</v>
      </c>
      <c r="W34" s="668">
        <f t="shared" si="14"/>
        <v>100</v>
      </c>
      <c r="X34" s="1264"/>
      <c r="Y34" s="3367"/>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1"/>
      <c r="M35" s="2486"/>
      <c r="N35" s="2486"/>
      <c r="O35" s="2486"/>
      <c r="P35" s="3405"/>
      <c r="Q35" s="1262" t="str">
        <f t="shared" si="11"/>
        <v>公共部分装修</v>
      </c>
      <c r="R35" s="667" t="s">
        <v>14</v>
      </c>
      <c r="S35" s="668">
        <f t="shared" si="12"/>
        <v>100</v>
      </c>
      <c r="T35" s="667" t="s">
        <v>14</v>
      </c>
      <c r="U35" s="668">
        <f t="shared" si="13"/>
        <v>100</v>
      </c>
      <c r="V35" s="667" t="s">
        <v>14</v>
      </c>
      <c r="W35" s="668">
        <f t="shared" si="14"/>
        <v>100</v>
      </c>
      <c r="X35" s="1264"/>
      <c r="Y35" s="3367"/>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05"/>
      <c r="Q36" s="1262" t="str">
        <f t="shared" si="11"/>
        <v>成新度</v>
      </c>
      <c r="R36" s="667" t="s">
        <v>14</v>
      </c>
      <c r="S36" s="668" t="e">
        <f t="shared" si="12"/>
        <v>#N/A</v>
      </c>
      <c r="T36" s="667" t="s">
        <v>14</v>
      </c>
      <c r="U36" s="668" t="e">
        <f t="shared" si="13"/>
        <v>#N/A</v>
      </c>
      <c r="V36" s="667" t="s">
        <v>14</v>
      </c>
      <c r="W36" s="668" t="e">
        <f t="shared" si="14"/>
        <v>#N/A</v>
      </c>
      <c r="X36" s="1264"/>
      <c r="Y36" s="3367"/>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7"/>
      <c r="M37" s="2439"/>
      <c r="N37" s="2439"/>
      <c r="O37" s="2439"/>
      <c r="P37" s="3405"/>
      <c r="Q37" s="530" t="str">
        <f t="shared" si="11"/>
        <v>市政基础设施</v>
      </c>
      <c r="R37" s="664" t="s">
        <v>14</v>
      </c>
      <c r="S37" s="665">
        <f t="shared" si="12"/>
        <v>100</v>
      </c>
      <c r="T37" s="664" t="s">
        <v>14</v>
      </c>
      <c r="U37" s="665">
        <f t="shared" si="13"/>
        <v>100</v>
      </c>
      <c r="V37" s="664" t="s">
        <v>14</v>
      </c>
      <c r="W37" s="665">
        <f t="shared" si="14"/>
        <v>100</v>
      </c>
      <c r="X37" s="666"/>
      <c r="Y37" s="3367"/>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1"/>
      <c r="M38" s="2486"/>
      <c r="N38" s="2486"/>
      <c r="O38" s="2486"/>
      <c r="P38" s="3405" t="s">
        <v>1696</v>
      </c>
      <c r="Q38" s="1262" t="str">
        <f t="shared" si="11"/>
        <v>业态</v>
      </c>
      <c r="R38" s="667" t="s">
        <v>14</v>
      </c>
      <c r="S38" s="668">
        <f t="shared" si="12"/>
        <v>100</v>
      </c>
      <c r="T38" s="667" t="s">
        <v>14</v>
      </c>
      <c r="U38" s="668">
        <f t="shared" si="13"/>
        <v>100</v>
      </c>
      <c r="V38" s="667" t="s">
        <v>14</v>
      </c>
      <c r="W38" s="668">
        <f t="shared" si="14"/>
        <v>100</v>
      </c>
      <c r="X38" s="1264"/>
      <c r="Y38" s="3367"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1"/>
      <c r="M39" s="2486"/>
      <c r="N39" s="2486"/>
      <c r="O39" s="2486"/>
      <c r="P39" s="3405"/>
      <c r="Q39" s="1262" t="str">
        <f t="shared" si="11"/>
        <v>层高</v>
      </c>
      <c r="R39" s="667" t="s">
        <v>14</v>
      </c>
      <c r="S39" s="668">
        <f t="shared" si="12"/>
        <v>100</v>
      </c>
      <c r="T39" s="667" t="s">
        <v>14</v>
      </c>
      <c r="U39" s="668">
        <f t="shared" si="13"/>
        <v>100</v>
      </c>
      <c r="V39" s="667" t="s">
        <v>14</v>
      </c>
      <c r="W39" s="668">
        <f t="shared" si="14"/>
        <v>100</v>
      </c>
      <c r="X39" s="1264"/>
      <c r="Y39" s="3367"/>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05"/>
      <c r="Q40" s="1262" t="str">
        <f t="shared" si="11"/>
        <v>单套建筑面积</v>
      </c>
      <c r="R40" s="667" t="s">
        <v>14</v>
      </c>
      <c r="S40" s="668">
        <f t="shared" si="12"/>
        <v>100</v>
      </c>
      <c r="T40" s="667" t="s">
        <v>14</v>
      </c>
      <c r="U40" s="668">
        <f t="shared" si="13"/>
        <v>100</v>
      </c>
      <c r="V40" s="667" t="s">
        <v>14</v>
      </c>
      <c r="W40" s="668">
        <f t="shared" si="14"/>
        <v>100</v>
      </c>
      <c r="X40" s="1264"/>
      <c r="Y40" s="3367"/>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05"/>
      <c r="Q41" s="531" t="str">
        <f t="shared" si="11"/>
        <v>进深比</v>
      </c>
      <c r="R41" s="669" t="s">
        <v>14</v>
      </c>
      <c r="S41" s="670">
        <f t="shared" si="12"/>
        <v>100</v>
      </c>
      <c r="T41" s="669" t="s">
        <v>14</v>
      </c>
      <c r="U41" s="670">
        <f t="shared" si="13"/>
        <v>100</v>
      </c>
      <c r="V41" s="669" t="s">
        <v>14</v>
      </c>
      <c r="W41" s="670">
        <f t="shared" si="14"/>
        <v>100</v>
      </c>
      <c r="X41" s="671"/>
      <c r="Y41" s="3367"/>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1"/>
      <c r="M42" s="2486"/>
      <c r="N42" s="2486"/>
      <c r="O42" s="2486"/>
      <c r="P42" s="3405"/>
      <c r="Q42" s="1262" t="str">
        <f t="shared" si="11"/>
        <v>内部装修</v>
      </c>
      <c r="R42" s="667" t="s">
        <v>14</v>
      </c>
      <c r="S42" s="668">
        <f t="shared" si="12"/>
        <v>100</v>
      </c>
      <c r="T42" s="667" t="s">
        <v>14</v>
      </c>
      <c r="U42" s="668">
        <f t="shared" si="13"/>
        <v>100</v>
      </c>
      <c r="V42" s="667" t="s">
        <v>14</v>
      </c>
      <c r="W42" s="668">
        <f t="shared" si="14"/>
        <v>100</v>
      </c>
      <c r="X42" s="1264"/>
      <c r="Y42" s="3367"/>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1"/>
      <c r="M43" s="2486"/>
      <c r="N43" s="2486"/>
      <c r="O43" s="2486"/>
      <c r="P43" s="3405"/>
      <c r="Q43" s="1262" t="str">
        <f t="shared" si="11"/>
        <v>内部装修维护情况</v>
      </c>
      <c r="R43" s="667" t="s">
        <v>14</v>
      </c>
      <c r="S43" s="668">
        <f t="shared" si="12"/>
        <v>100</v>
      </c>
      <c r="T43" s="667" t="s">
        <v>14</v>
      </c>
      <c r="U43" s="668">
        <f t="shared" si="13"/>
        <v>100</v>
      </c>
      <c r="V43" s="667" t="s">
        <v>14</v>
      </c>
      <c r="W43" s="668">
        <f t="shared" si="14"/>
        <v>100</v>
      </c>
      <c r="X43" s="1264"/>
      <c r="Y43" s="3367"/>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05"/>
      <c r="Q44" s="530">
        <f t="shared" si="11"/>
        <v>111</v>
      </c>
      <c r="R44" s="664" t="s">
        <v>14</v>
      </c>
      <c r="S44" s="665">
        <f t="shared" si="12"/>
        <v>100</v>
      </c>
      <c r="T44" s="664" t="s">
        <v>14</v>
      </c>
      <c r="U44" s="665">
        <f t="shared" si="13"/>
        <v>100</v>
      </c>
      <c r="V44" s="664" t="s">
        <v>14</v>
      </c>
      <c r="W44" s="665">
        <f t="shared" si="14"/>
        <v>100</v>
      </c>
      <c r="X44" s="666"/>
      <c r="Y44" s="336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05"/>
      <c r="Q45" s="1262">
        <f t="shared" si="11"/>
        <v>111</v>
      </c>
      <c r="R45" s="667" t="s">
        <v>14</v>
      </c>
      <c r="S45" s="668">
        <f t="shared" si="12"/>
        <v>100</v>
      </c>
      <c r="T45" s="667" t="s">
        <v>14</v>
      </c>
      <c r="U45" s="668">
        <f t="shared" si="13"/>
        <v>100</v>
      </c>
      <c r="V45" s="667" t="s">
        <v>14</v>
      </c>
      <c r="W45" s="668">
        <f t="shared" si="14"/>
        <v>100</v>
      </c>
      <c r="X45" s="1264"/>
      <c r="Y45" s="3367"/>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06"/>
      <c r="Q46" s="1262">
        <f t="shared" si="11"/>
        <v>111</v>
      </c>
      <c r="R46" s="667" t="s">
        <v>14</v>
      </c>
      <c r="S46" s="668">
        <f t="shared" si="12"/>
        <v>100</v>
      </c>
      <c r="T46" s="667" t="s">
        <v>14</v>
      </c>
      <c r="U46" s="668">
        <f t="shared" si="13"/>
        <v>100</v>
      </c>
      <c r="V46" s="667" t="s">
        <v>14</v>
      </c>
      <c r="W46" s="668">
        <f t="shared" si="14"/>
        <v>100</v>
      </c>
      <c r="X46" s="1264"/>
      <c r="Y46" s="3407"/>
      <c r="Z46" s="1263">
        <f t="shared" si="15"/>
        <v>111</v>
      </c>
      <c r="AA46" s="1263">
        <f t="shared" si="3"/>
        <v>1</v>
      </c>
      <c r="AB46" s="1263">
        <f t="shared" si="4"/>
        <v>1</v>
      </c>
      <c r="AC46" s="1263">
        <f t="shared" si="5"/>
        <v>1</v>
      </c>
    </row>
    <row r="47" spans="1:29" ht="15">
      <c r="A47" s="416" t="s">
        <v>1708</v>
      </c>
      <c r="B47" s="417"/>
      <c r="C47" s="1081" t="s">
        <v>0</v>
      </c>
      <c r="D47" s="418"/>
      <c r="E47" s="419"/>
      <c r="F47" s="420"/>
      <c r="G47" s="421"/>
      <c r="H47" s="422"/>
      <c r="I47" s="419"/>
      <c r="J47" s="422"/>
      <c r="K47" s="674"/>
      <c r="L47" s="2493"/>
      <c r="M47" s="2486"/>
      <c r="N47" s="2486"/>
      <c r="O47" s="2486"/>
      <c r="P47" s="3349" t="str">
        <f>A47</f>
        <v>成交单价（元/平方米）</v>
      </c>
      <c r="Q47" s="3349"/>
      <c r="R47" s="3362">
        <f>E47</f>
        <v>0</v>
      </c>
      <c r="S47" s="3362"/>
      <c r="T47" s="3362">
        <f>G47</f>
        <v>0</v>
      </c>
      <c r="U47" s="3362"/>
      <c r="V47" s="3362">
        <f>I47</f>
        <v>0</v>
      </c>
      <c r="W47" s="3362"/>
      <c r="X47" s="385"/>
      <c r="Y47" s="673"/>
      <c r="Z47" s="385"/>
      <c r="AA47" s="385"/>
      <c r="AB47" s="385"/>
      <c r="AC47" s="385"/>
    </row>
    <row r="48" spans="1:29" ht="15.75" thickBot="1">
      <c r="A48" s="423" t="s">
        <v>1793</v>
      </c>
      <c r="B48" s="424"/>
      <c r="C48" s="1082" t="e">
        <f>R49</f>
        <v>#DIV/0!</v>
      </c>
      <c r="D48" s="2140" t="s">
        <v>2138</v>
      </c>
      <c r="E48" s="1083" t="e">
        <f>R48</f>
        <v>#DIV/0!</v>
      </c>
      <c r="F48" s="2141"/>
      <c r="G48" s="1082" t="e">
        <f>T48</f>
        <v>#DIV/0!</v>
      </c>
      <c r="H48" s="2141"/>
      <c r="I48" s="1083" t="e">
        <f>V48</f>
        <v>#DIV/0!</v>
      </c>
      <c r="J48" s="2141"/>
      <c r="K48" s="2143">
        <f>F48+H48+J48</f>
        <v>0</v>
      </c>
      <c r="L48" s="2493"/>
      <c r="M48" s="2486"/>
      <c r="N48" s="2486"/>
      <c r="O48" s="2486"/>
      <c r="P48" s="3349" t="str">
        <f>A48</f>
        <v>比较价值（元/平方米）</v>
      </c>
      <c r="Q48" s="3349"/>
      <c r="R48" s="3362" t="e">
        <f>IF(F1="售价",ROUND(PRODUCT(R47,AA7:AA46),0),ROUND(PRODUCT(R47,AA7:AA46),1))</f>
        <v>#DIV/0!</v>
      </c>
      <c r="S48" s="3362"/>
      <c r="T48" s="3362" t="e">
        <f>IF(F1="售价",ROUND(PRODUCT(T47,AB7:AB46),0),ROUND(PRODUCT(T47,AB7:AB46),1))</f>
        <v>#DIV/0!</v>
      </c>
      <c r="U48" s="3362"/>
      <c r="V48" s="3362" t="e">
        <f>IF(F1="售价",ROUND(PRODUCT(V47,AC7:AC46),0),ROUND(PRODUCT(V47,AC7:AC46),1))</f>
        <v>#DIV/0!</v>
      </c>
      <c r="W48" s="3362"/>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3"/>
      <c r="M49" s="2486"/>
      <c r="N49" s="2486"/>
      <c r="O49" s="2486"/>
      <c r="P49" s="3369" t="str">
        <f>A49</f>
        <v>估价对象XX用房的比较价值（楼面单价，元/平方米）</v>
      </c>
      <c r="Q49" s="3370"/>
      <c r="R49" s="3403" t="e">
        <f>IF(F1="售价",ROUND(IF(D48="简单平均",AVERAGE(R48:V48),R48*F48+T48*H48+V48*J48),0),ROUND(IF(D48="简单平均",AVERAGE(R48:V48),R48*F48+T48*H48+V48*J48),1))</f>
        <v>#DIV/0!</v>
      </c>
      <c r="S49" s="3403"/>
      <c r="T49" s="3403"/>
      <c r="U49" s="3403"/>
      <c r="V49" s="3403"/>
      <c r="W49" s="3403"/>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2" t="str">
        <f>YEAR(C7)&amp;"-"&amp;MONTH(C7)</f>
        <v>2024-9</v>
      </c>
      <c r="D58" s="1103">
        <f>EDATE(C58,-1)</f>
        <v>45505</v>
      </c>
      <c r="E58" s="1103">
        <f t="shared" ref="E58:N58" si="16">EDATE(D58,-1)</f>
        <v>45474</v>
      </c>
      <c r="F58" s="1103">
        <f t="shared" si="16"/>
        <v>45444</v>
      </c>
      <c r="G58" s="1103">
        <f t="shared" si="16"/>
        <v>45413</v>
      </c>
      <c r="H58" s="1103">
        <f t="shared" si="16"/>
        <v>45383</v>
      </c>
      <c r="I58" s="1103">
        <f t="shared" si="16"/>
        <v>45352</v>
      </c>
      <c r="J58" s="1103">
        <f t="shared" si="16"/>
        <v>45323</v>
      </c>
      <c r="K58" s="1103">
        <f t="shared" si="16"/>
        <v>45292</v>
      </c>
      <c r="L58" s="1103">
        <f t="shared" si="16"/>
        <v>45261</v>
      </c>
      <c r="M58" s="1103">
        <f t="shared" si="16"/>
        <v>45231</v>
      </c>
      <c r="N58" s="1103">
        <f t="shared" si="16"/>
        <v>45200</v>
      </c>
      <c r="O58" s="1103">
        <f>EDATE(N58,-1)</f>
        <v>45170</v>
      </c>
      <c r="P58" s="2508"/>
      <c r="Q58" s="2509"/>
      <c r="R58" s="2509"/>
      <c r="S58" s="2509"/>
      <c r="T58" s="2509"/>
      <c r="U58" s="2509"/>
      <c r="V58" s="2509"/>
      <c r="W58" s="2509"/>
      <c r="X58" s="2509"/>
      <c r="Y58" s="2509"/>
      <c r="Z58" s="2509"/>
      <c r="AA58" s="2509"/>
      <c r="AB58" s="2509"/>
      <c r="AC58" s="2509"/>
    </row>
    <row r="59" spans="1:29" s="102" customFormat="1" ht="15">
      <c r="A59" s="443"/>
      <c r="B59" s="444"/>
      <c r="C59" s="1101">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C43 E43 G43 I43" xr:uid="{00000000-0002-0000-1D00-000001000000}">
      <formula1>内部装修维护情况</formula1>
    </dataValidation>
    <dataValidation type="list" allowBlank="1" showInputMessage="1" showErrorMessage="1" sqref="E20 I20 G20 C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25 E25 G25 I25" xr:uid="{00000000-0002-0000-1D00-000005000000}">
      <formula1>商业临街状况</formula1>
    </dataValidation>
    <dataValidation type="list" allowBlank="1" showInputMessage="1" showErrorMessage="1" sqref="C27 E27 G27 I27" xr:uid="{00000000-0002-0000-1D00-000006000000}">
      <formula1>商业人流量</formula1>
    </dataValidation>
    <dataValidation type="list" allowBlank="1" showInputMessage="1" showErrorMessage="1" sqref="C28 E28 G28 I28" xr:uid="{00000000-0002-0000-1D00-000007000000}">
      <formula1>商业楼层</formula1>
    </dataValidation>
    <dataValidation type="list" allowBlank="1" showInputMessage="1" showErrorMessage="1" sqref="C32 E32 G32 I32" xr:uid="{00000000-0002-0000-1D00-000008000000}">
      <formula1>商业类型</formula1>
    </dataValidation>
    <dataValidation type="list" allowBlank="1" showInputMessage="1" showErrorMessage="1" sqref="C34 E34 G34 I34" xr:uid="{00000000-0002-0000-1D00-000009000000}">
      <formula1>商业建筑结构</formula1>
    </dataValidation>
    <dataValidation type="list" allowBlank="1" showInputMessage="1" showErrorMessage="1" sqref="C35 E35 G35 I35" xr:uid="{00000000-0002-0000-1D00-00000A000000}">
      <formula1>商业公共部分装修</formula1>
    </dataValidation>
    <dataValidation type="list" allowBlank="1" showInputMessage="1" showErrorMessage="1" sqref="C37 E37 G37 I37" xr:uid="{00000000-0002-0000-1D00-00000B000000}">
      <formula1>商业基础设施水平</formula1>
    </dataValidation>
    <dataValidation type="list" allowBlank="1" showInputMessage="1" showErrorMessage="1" sqref="C41 E41 G41 I41" xr:uid="{00000000-0002-0000-1D00-00000C000000}">
      <formula1>商业进深比</formula1>
    </dataValidation>
    <dataValidation type="list" allowBlank="1" showInputMessage="1" showErrorMessage="1" sqref="C42 E42 G42 I42" xr:uid="{00000000-0002-0000-1D00-00000D000000}">
      <formula1>商业内部装修</formula1>
    </dataValidation>
    <dataValidation type="list" allowBlank="1" showInputMessage="1" showErrorMessage="1" sqref="E9 G9 I9" xr:uid="{00000000-0002-0000-1D00-00000E000000}">
      <formula1>商业用途</formula1>
    </dataValidation>
    <dataValidation type="list" allowBlank="1" showInputMessage="1" showErrorMessage="1" sqref="C38 E38 G38 I38" xr:uid="{00000000-0002-0000-1D00-00000F000000}">
      <formula1>商业业态</formula1>
    </dataValidation>
    <dataValidation type="list" allowBlank="1" showInputMessage="1" showErrorMessage="1" sqref="C39 E39 G39 I39" xr:uid="{00000000-0002-0000-1D00-000010000000}">
      <formula1>商业层高</formula1>
    </dataValidation>
    <dataValidation type="list" allowBlank="1" showInputMessage="1" showErrorMessage="1" sqref="C8 E8 G8 I8" xr:uid="{00000000-0002-0000-1D00-000011000000}">
      <formula1>商业交易情况</formula1>
    </dataValidation>
    <dataValidation type="list" allowBlank="1" showInputMessage="1" showErrorMessage="1" sqref="C16 E16 G16 I16" xr:uid="{00000000-0002-0000-1D00-000012000000}">
      <formula1>商业繁华度</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8"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受贵公司委托，我公司对重庆市永川区房地产抵押价值进行了预评估。</v>
      </c>
    </row>
    <row r="5" spans="1:1" ht="18.75">
      <c r="A5" s="1382" t="s">
        <v>899</v>
      </c>
    </row>
    <row r="6" spans="1:1" ht="18.75">
      <c r="A6" s="1383" t="s">
        <v>900</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估价对象为重庆市永川区房地产，为所有。根据《国有土地使用证》[]，估价对象（分摊）出让国有建设用地使用权面积为0平方米，建筑面积为2375.33平方米。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估价对象为重庆市永川区房地产,属开发建设的，该项目尚在开发建设中。根据《国有土地使用证》[]，估价对象（分摊）出让国有建设用地使用权面积为0平方米，规划建筑面积为2375.33平方米。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拟使用重庆市永川区房地产作为抵押担保物，向办理贷款手续。特委托北京康正宏基房地产评估有限公司对上述抵押物进行评估。本次评估为确定房地产抵押贷款额度提供参考依据而评估房地产抵押价值。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2024年9月9日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9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本次评估采用的主估价方法为成本法和收益法。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2375.33</v>
      </c>
      <c r="E3" s="1804"/>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1769</v>
      </c>
      <c r="B4" s="346"/>
      <c r="C4" s="3350" t="s">
        <v>1770</v>
      </c>
      <c r="D4" s="3351"/>
      <c r="E4" s="3352" t="s">
        <v>1771</v>
      </c>
      <c r="F4" s="3353"/>
      <c r="G4" s="3350" t="s">
        <v>1772</v>
      </c>
      <c r="H4" s="3351"/>
      <c r="I4" s="3350" t="s">
        <v>1773</v>
      </c>
      <c r="J4" s="3351"/>
      <c r="K4" s="537" t="s">
        <v>1774</v>
      </c>
      <c r="L4" s="2485"/>
      <c r="M4" s="2486"/>
      <c r="N4" s="2486"/>
      <c r="O4" s="2486"/>
      <c r="P4" s="3416" t="s">
        <v>1775</v>
      </c>
      <c r="Q4" s="3417"/>
      <c r="R4" s="3411" t="s">
        <v>1771</v>
      </c>
      <c r="S4" s="3412"/>
      <c r="T4" s="3411" t="s">
        <v>1772</v>
      </c>
      <c r="U4" s="3412"/>
      <c r="V4" s="3420" t="s">
        <v>1773</v>
      </c>
      <c r="W4" s="3420"/>
      <c r="X4" s="1808"/>
      <c r="Y4" s="3411" t="s">
        <v>1775</v>
      </c>
      <c r="Z4" s="3412"/>
      <c r="AA4" s="3410" t="s">
        <v>1771</v>
      </c>
      <c r="AB4" s="3410" t="s">
        <v>1772</v>
      </c>
      <c r="AC4" s="3413" t="s">
        <v>1773</v>
      </c>
    </row>
    <row r="5" spans="1:29" ht="15">
      <c r="A5" s="348"/>
      <c r="B5" s="349"/>
      <c r="C5" s="3343" t="s">
        <v>1673</v>
      </c>
      <c r="D5" s="3344"/>
      <c r="E5" s="3341" t="s">
        <v>1674</v>
      </c>
      <c r="F5" s="3342"/>
      <c r="G5" s="3343" t="s">
        <v>1675</v>
      </c>
      <c r="H5" s="3344"/>
      <c r="I5" s="3343" t="s">
        <v>1676</v>
      </c>
      <c r="J5" s="3344"/>
      <c r="K5" s="537"/>
      <c r="L5" s="2485"/>
      <c r="M5" s="2486"/>
      <c r="N5" s="2486"/>
      <c r="O5" s="2486"/>
      <c r="P5" s="3418"/>
      <c r="Q5" s="3357"/>
      <c r="R5" s="3339"/>
      <c r="S5" s="3340"/>
      <c r="T5" s="3339"/>
      <c r="U5" s="3340"/>
      <c r="V5" s="3362"/>
      <c r="W5" s="3362"/>
      <c r="X5" s="1264"/>
      <c r="Y5" s="3339"/>
      <c r="Z5" s="3340"/>
      <c r="AA5" s="3333"/>
      <c r="AB5" s="3333"/>
      <c r="AC5" s="3414"/>
    </row>
    <row r="6" spans="1:29" ht="15.75" thickBot="1">
      <c r="A6" s="350"/>
      <c r="B6" s="351"/>
      <c r="C6" s="3345" t="s">
        <v>1677</v>
      </c>
      <c r="D6" s="3346"/>
      <c r="E6" s="3347" t="s">
        <v>1677</v>
      </c>
      <c r="F6" s="3348"/>
      <c r="G6" s="3345" t="s">
        <v>1677</v>
      </c>
      <c r="H6" s="3346"/>
      <c r="I6" s="3345" t="s">
        <v>1677</v>
      </c>
      <c r="J6" s="3346"/>
      <c r="K6" s="537" t="s">
        <v>1678</v>
      </c>
      <c r="L6" s="2485"/>
      <c r="M6" s="2486"/>
      <c r="N6" s="2486"/>
      <c r="O6" s="2486"/>
      <c r="P6" s="3419"/>
      <c r="Q6" s="3359"/>
      <c r="R6" s="3339"/>
      <c r="S6" s="3340"/>
      <c r="T6" s="3360"/>
      <c r="U6" s="3361"/>
      <c r="V6" s="3362"/>
      <c r="W6" s="3362"/>
      <c r="X6" s="1264"/>
      <c r="Y6" s="3360"/>
      <c r="Z6" s="3361"/>
      <c r="AA6" s="3334"/>
      <c r="AB6" s="3334"/>
      <c r="AC6" s="3415"/>
    </row>
    <row r="7" spans="1:29" s="102" customFormat="1" ht="15.75" thickBot="1">
      <c r="A7" s="352" t="s">
        <v>1679</v>
      </c>
      <c r="B7" s="353"/>
      <c r="C7" s="354">
        <f>'数据-取费表'!B2</f>
        <v>45544</v>
      </c>
      <c r="D7" s="355">
        <v>100</v>
      </c>
      <c r="E7" s="356"/>
      <c r="F7" s="357">
        <f>SUMIF(59:59,YEAR(E7)&amp;"-"&amp;MONTH(E7),60:60)</f>
        <v>0</v>
      </c>
      <c r="G7" s="356"/>
      <c r="H7" s="355">
        <f>SUMIF(59:59,YEAR(G7)&amp;"-"&amp;MONTH(G7),60:60)</f>
        <v>0</v>
      </c>
      <c r="I7" s="356"/>
      <c r="J7" s="355">
        <f>SUMIF(59:59,YEAR(I7)&amp;"-"&amp;MONTH(I7),60:60)</f>
        <v>0</v>
      </c>
      <c r="K7" s="38"/>
      <c r="L7" s="2487"/>
      <c r="M7" s="2439"/>
      <c r="N7" s="2439"/>
      <c r="O7" s="2439"/>
      <c r="P7" s="3421" t="s">
        <v>1680</v>
      </c>
      <c r="Q7" s="3363"/>
      <c r="R7" s="664" t="s">
        <v>14</v>
      </c>
      <c r="S7" s="665">
        <f t="shared" ref="S7:S15" si="0">F7</f>
        <v>0</v>
      </c>
      <c r="T7" s="664" t="s">
        <v>14</v>
      </c>
      <c r="U7" s="665">
        <f t="shared" ref="U7:U15" si="1">H7</f>
        <v>0</v>
      </c>
      <c r="V7" s="664" t="s">
        <v>14</v>
      </c>
      <c r="W7" s="665">
        <f t="shared" ref="W7:W15" si="2">J7</f>
        <v>0</v>
      </c>
      <c r="X7" s="666"/>
      <c r="Y7" s="3335" t="s">
        <v>1680</v>
      </c>
      <c r="Z7" s="3336"/>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21" t="s">
        <v>1683</v>
      </c>
      <c r="Q8" s="3336"/>
      <c r="R8" s="664" t="s">
        <v>14</v>
      </c>
      <c r="S8" s="665">
        <f t="shared" si="0"/>
        <v>100</v>
      </c>
      <c r="T8" s="664" t="s">
        <v>14</v>
      </c>
      <c r="U8" s="665">
        <f t="shared" si="1"/>
        <v>100</v>
      </c>
      <c r="V8" s="664" t="s">
        <v>14</v>
      </c>
      <c r="W8" s="665">
        <f t="shared" si="2"/>
        <v>100</v>
      </c>
      <c r="X8" s="666"/>
      <c r="Y8" s="3335" t="s">
        <v>1683</v>
      </c>
      <c r="Z8" s="3336"/>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73" t="s">
        <v>1686</v>
      </c>
      <c r="Q9" s="530" t="str">
        <f t="shared" ref="Q9:Q15" si="6">B9</f>
        <v>用途</v>
      </c>
      <c r="R9" s="664" t="s">
        <v>14</v>
      </c>
      <c r="S9" s="665">
        <f t="shared" si="0"/>
        <v>100</v>
      </c>
      <c r="T9" s="664" t="s">
        <v>14</v>
      </c>
      <c r="U9" s="665">
        <f t="shared" si="1"/>
        <v>100</v>
      </c>
      <c r="V9" s="664" t="s">
        <v>14</v>
      </c>
      <c r="W9" s="665">
        <f t="shared" si="2"/>
        <v>100</v>
      </c>
      <c r="X9" s="666"/>
      <c r="Y9" s="3308" t="s">
        <v>1687</v>
      </c>
      <c r="Z9" s="50" t="str">
        <f t="shared" ref="Z9:Z15" si="7">Q9</f>
        <v>用途</v>
      </c>
      <c r="AA9" s="50">
        <f t="shared" si="3"/>
        <v>1</v>
      </c>
      <c r="AB9" s="50">
        <f t="shared" si="4"/>
        <v>1</v>
      </c>
      <c r="AC9" s="802">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73"/>
      <c r="Q10" s="530" t="str">
        <f t="shared" si="6"/>
        <v>土地使用年限（年）</v>
      </c>
      <c r="R10" s="664" t="s">
        <v>14</v>
      </c>
      <c r="S10" s="665">
        <f t="shared" si="0"/>
        <v>100</v>
      </c>
      <c r="T10" s="664" t="s">
        <v>14</v>
      </c>
      <c r="U10" s="665">
        <f t="shared" si="1"/>
        <v>100</v>
      </c>
      <c r="V10" s="664" t="s">
        <v>14</v>
      </c>
      <c r="W10" s="665">
        <f t="shared" si="2"/>
        <v>100</v>
      </c>
      <c r="X10" s="666"/>
      <c r="Y10" s="3308"/>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73"/>
      <c r="Q11" s="530" t="str">
        <f t="shared" si="6"/>
        <v>容积率</v>
      </c>
      <c r="R11" s="664" t="s">
        <v>14</v>
      </c>
      <c r="S11" s="665">
        <f t="shared" si="0"/>
        <v>100</v>
      </c>
      <c r="T11" s="664" t="s">
        <v>14</v>
      </c>
      <c r="U11" s="665">
        <f t="shared" si="1"/>
        <v>100</v>
      </c>
      <c r="V11" s="664" t="s">
        <v>14</v>
      </c>
      <c r="W11" s="665">
        <f t="shared" si="2"/>
        <v>100</v>
      </c>
      <c r="X11" s="666"/>
      <c r="Y11" s="3308"/>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7"/>
      <c r="M12" s="2439"/>
      <c r="N12" s="2439"/>
      <c r="O12" s="2439"/>
      <c r="P12" s="3373"/>
      <c r="Q12" s="530">
        <f t="shared" si="6"/>
        <v>111</v>
      </c>
      <c r="R12" s="664" t="s">
        <v>14</v>
      </c>
      <c r="S12" s="665">
        <f t="shared" si="0"/>
        <v>100</v>
      </c>
      <c r="T12" s="664" t="s">
        <v>14</v>
      </c>
      <c r="U12" s="665">
        <f t="shared" si="1"/>
        <v>100</v>
      </c>
      <c r="V12" s="664" t="s">
        <v>14</v>
      </c>
      <c r="W12" s="665">
        <f t="shared" si="2"/>
        <v>100</v>
      </c>
      <c r="X12" s="666"/>
      <c r="Y12" s="3308"/>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1"/>
      <c r="M13" s="2486"/>
      <c r="N13" s="2486"/>
      <c r="O13" s="2486"/>
      <c r="P13" s="3373"/>
      <c r="Q13" s="530">
        <f t="shared" si="6"/>
        <v>111</v>
      </c>
      <c r="R13" s="664" t="s">
        <v>14</v>
      </c>
      <c r="S13" s="665">
        <f t="shared" si="0"/>
        <v>100</v>
      </c>
      <c r="T13" s="664" t="s">
        <v>14</v>
      </c>
      <c r="U13" s="665">
        <f t="shared" si="1"/>
        <v>100</v>
      </c>
      <c r="V13" s="664" t="s">
        <v>14</v>
      </c>
      <c r="W13" s="665">
        <f t="shared" si="2"/>
        <v>100</v>
      </c>
      <c r="X13" s="666"/>
      <c r="Y13" s="3308"/>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1"/>
      <c r="M14" s="2486"/>
      <c r="N14" s="2486"/>
      <c r="O14" s="2486"/>
      <c r="P14" s="3373"/>
      <c r="Q14" s="530">
        <f t="shared" si="6"/>
        <v>111</v>
      </c>
      <c r="R14" s="664" t="s">
        <v>14</v>
      </c>
      <c r="S14" s="665">
        <f t="shared" si="0"/>
        <v>100</v>
      </c>
      <c r="T14" s="664" t="s">
        <v>14</v>
      </c>
      <c r="U14" s="665">
        <f t="shared" si="1"/>
        <v>100</v>
      </c>
      <c r="V14" s="664" t="s">
        <v>14</v>
      </c>
      <c r="W14" s="665">
        <f t="shared" si="2"/>
        <v>100</v>
      </c>
      <c r="X14" s="666"/>
      <c r="Y14" s="3308"/>
      <c r="Z14" s="50">
        <f t="shared" si="7"/>
        <v>111</v>
      </c>
      <c r="AA14" s="50">
        <f t="shared" si="3"/>
        <v>1</v>
      </c>
      <c r="AB14" s="50">
        <f t="shared" si="4"/>
        <v>1</v>
      </c>
      <c r="AC14" s="802">
        <f t="shared" si="5"/>
        <v>1</v>
      </c>
    </row>
    <row r="15" spans="1:29" ht="71.25">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08" t="s">
        <v>1691</v>
      </c>
      <c r="Q15" s="1262" t="str">
        <f t="shared" si="6"/>
        <v>办公集聚程度</v>
      </c>
      <c r="R15" s="667" t="s">
        <v>14</v>
      </c>
      <c r="S15" s="668">
        <f t="shared" si="0"/>
        <v>100</v>
      </c>
      <c r="T15" s="667" t="s">
        <v>14</v>
      </c>
      <c r="U15" s="668">
        <f t="shared" si="1"/>
        <v>100</v>
      </c>
      <c r="V15" s="667" t="s">
        <v>14</v>
      </c>
      <c r="W15" s="668">
        <f t="shared" si="2"/>
        <v>100</v>
      </c>
      <c r="X15" s="1264"/>
      <c r="Y15" s="3364"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91"/>
      <c r="M16" s="2486"/>
      <c r="N16" s="2486"/>
      <c r="O16" s="2486"/>
      <c r="P16" s="3409"/>
      <c r="Q16" s="1262"/>
      <c r="R16" s="667"/>
      <c r="S16" s="668"/>
      <c r="T16" s="667"/>
      <c r="U16" s="668"/>
      <c r="V16" s="667"/>
      <c r="W16" s="668"/>
      <c r="X16" s="1264"/>
      <c r="Y16" s="3365"/>
      <c r="Z16" s="1263"/>
      <c r="AA16" s="1263">
        <v>1</v>
      </c>
      <c r="AB16" s="1263">
        <v>1</v>
      </c>
      <c r="AC16" s="1811">
        <v>1</v>
      </c>
    </row>
    <row r="17" spans="1:29" ht="85.5">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09"/>
      <c r="Q17" s="1262" t="str">
        <f>B17</f>
        <v>交通便捷度</v>
      </c>
      <c r="R17" s="667" t="s">
        <v>14</v>
      </c>
      <c r="S17" s="668">
        <f>F17</f>
        <v>100</v>
      </c>
      <c r="T17" s="667" t="s">
        <v>14</v>
      </c>
      <c r="U17" s="668">
        <f>H17</f>
        <v>100</v>
      </c>
      <c r="V17" s="667" t="s">
        <v>14</v>
      </c>
      <c r="W17" s="668">
        <f>J17</f>
        <v>100</v>
      </c>
      <c r="X17" s="1264"/>
      <c r="Y17" s="3365"/>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1"/>
      <c r="M18" s="2486"/>
      <c r="N18" s="2486"/>
      <c r="O18" s="2486"/>
      <c r="P18" s="3409"/>
      <c r="Q18" s="1262"/>
      <c r="R18" s="667"/>
      <c r="S18" s="668"/>
      <c r="T18" s="667"/>
      <c r="U18" s="668"/>
      <c r="V18" s="667"/>
      <c r="W18" s="668"/>
      <c r="X18" s="1264"/>
      <c r="Y18" s="3365"/>
      <c r="Z18" s="1263"/>
      <c r="AA18" s="1263">
        <v>1</v>
      </c>
      <c r="AB18" s="1263">
        <v>1</v>
      </c>
      <c r="AC18" s="1811">
        <v>1</v>
      </c>
    </row>
    <row r="19" spans="1:29" ht="42.75">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09"/>
      <c r="Q19" s="1262" t="str">
        <f>B19</f>
        <v>公共配套设施</v>
      </c>
      <c r="R19" s="667" t="s">
        <v>14</v>
      </c>
      <c r="S19" s="668">
        <f>F19</f>
        <v>100</v>
      </c>
      <c r="T19" s="667" t="s">
        <v>14</v>
      </c>
      <c r="U19" s="668">
        <f>H19</f>
        <v>100</v>
      </c>
      <c r="V19" s="667" t="s">
        <v>14</v>
      </c>
      <c r="W19" s="668">
        <f>J19</f>
        <v>100</v>
      </c>
      <c r="X19" s="1264"/>
      <c r="Y19" s="3365"/>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1"/>
      <c r="M20" s="2486"/>
      <c r="N20" s="2486"/>
      <c r="O20" s="2486"/>
      <c r="P20" s="3409"/>
      <c r="Q20" s="1262"/>
      <c r="R20" s="667"/>
      <c r="S20" s="668"/>
      <c r="T20" s="667"/>
      <c r="U20" s="668"/>
      <c r="V20" s="667"/>
      <c r="W20" s="668"/>
      <c r="X20" s="1264"/>
      <c r="Y20" s="3365"/>
      <c r="Z20" s="1263"/>
      <c r="AA20" s="1263">
        <v>1</v>
      </c>
      <c r="AB20" s="1263">
        <v>1</v>
      </c>
      <c r="AC20" s="1811">
        <v>1</v>
      </c>
    </row>
    <row r="21" spans="1:29" ht="28.5">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09"/>
      <c r="Q21" s="1262" t="str">
        <f>B21</f>
        <v>基础设施水平</v>
      </c>
      <c r="R21" s="667" t="s">
        <v>14</v>
      </c>
      <c r="S21" s="668">
        <f>F21</f>
        <v>100</v>
      </c>
      <c r="T21" s="667" t="s">
        <v>14</v>
      </c>
      <c r="U21" s="668">
        <f>H21</f>
        <v>100</v>
      </c>
      <c r="V21" s="667" t="s">
        <v>14</v>
      </c>
      <c r="W21" s="668">
        <f>J21</f>
        <v>100</v>
      </c>
      <c r="X21" s="1264"/>
      <c r="Y21" s="3365"/>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4"/>
      <c r="L22" s="2491"/>
      <c r="M22" s="2486"/>
      <c r="N22" s="2486"/>
      <c r="O22" s="2486"/>
      <c r="P22" s="3409"/>
      <c r="Q22" s="1262"/>
      <c r="R22" s="667"/>
      <c r="S22" s="668"/>
      <c r="T22" s="667"/>
      <c r="U22" s="668"/>
      <c r="V22" s="667"/>
      <c r="W22" s="668"/>
      <c r="X22" s="1264"/>
      <c r="Y22" s="3365"/>
      <c r="Z22" s="1263"/>
      <c r="AA22" s="1263">
        <v>1</v>
      </c>
      <c r="AB22" s="1263">
        <v>1</v>
      </c>
      <c r="AC22" s="1811">
        <v>1</v>
      </c>
    </row>
    <row r="23" spans="1:29" ht="57">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09"/>
      <c r="Q23" s="1262" t="str">
        <f>B23</f>
        <v>环境质量</v>
      </c>
      <c r="R23" s="667" t="s">
        <v>14</v>
      </c>
      <c r="S23" s="668">
        <f>F23</f>
        <v>100</v>
      </c>
      <c r="T23" s="667" t="s">
        <v>14</v>
      </c>
      <c r="U23" s="668">
        <f>H23</f>
        <v>100</v>
      </c>
      <c r="V23" s="667" t="s">
        <v>14</v>
      </c>
      <c r="W23" s="668">
        <f>J23</f>
        <v>100</v>
      </c>
      <c r="X23" s="1264"/>
      <c r="Y23" s="3365"/>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91"/>
      <c r="M24" s="2486"/>
      <c r="N24" s="2486"/>
      <c r="O24" s="2486"/>
      <c r="P24" s="3409"/>
      <c r="Q24" s="1262"/>
      <c r="R24" s="667"/>
      <c r="S24" s="668"/>
      <c r="T24" s="667"/>
      <c r="U24" s="668"/>
      <c r="V24" s="667"/>
      <c r="W24" s="668"/>
      <c r="X24" s="1264"/>
      <c r="Y24" s="3365"/>
      <c r="Z24" s="1263"/>
      <c r="AA24" s="1263">
        <v>1</v>
      </c>
      <c r="AB24" s="1263">
        <v>1</v>
      </c>
      <c r="AC24" s="1811">
        <v>1</v>
      </c>
    </row>
    <row r="25" spans="1:29" ht="28.5">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1"/>
      <c r="M25" s="2486"/>
      <c r="N25" s="2486"/>
      <c r="O25" s="2486"/>
      <c r="P25" s="3409"/>
      <c r="Q25" s="1262" t="str">
        <f>B25</f>
        <v>毗邻道路的类型与等级</v>
      </c>
      <c r="R25" s="667" t="s">
        <v>14</v>
      </c>
      <c r="S25" s="668">
        <f>F25</f>
        <v>100</v>
      </c>
      <c r="T25" s="667" t="s">
        <v>14</v>
      </c>
      <c r="U25" s="668">
        <f>H25</f>
        <v>100</v>
      </c>
      <c r="V25" s="667" t="s">
        <v>14</v>
      </c>
      <c r="W25" s="668">
        <f>J25</f>
        <v>100</v>
      </c>
      <c r="X25" s="1264"/>
      <c r="Y25" s="3365"/>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91"/>
      <c r="M26" s="2486"/>
      <c r="N26" s="2486"/>
      <c r="O26" s="2486"/>
      <c r="P26" s="3409"/>
      <c r="Q26" s="1262"/>
      <c r="R26" s="667"/>
      <c r="S26" s="668"/>
      <c r="T26" s="667"/>
      <c r="U26" s="668"/>
      <c r="V26" s="667"/>
      <c r="W26" s="668"/>
      <c r="X26" s="1264"/>
      <c r="Y26" s="3365"/>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09"/>
      <c r="Q27" s="1262" t="str">
        <f t="shared" ref="Q27:Q47" si="11">B27</f>
        <v>楼层</v>
      </c>
      <c r="R27" s="667" t="s">
        <v>14</v>
      </c>
      <c r="S27" s="668">
        <f>F27</f>
        <v>100</v>
      </c>
      <c r="T27" s="667" t="s">
        <v>14</v>
      </c>
      <c r="U27" s="668">
        <f>H27</f>
        <v>100</v>
      </c>
      <c r="V27" s="667" t="s">
        <v>14</v>
      </c>
      <c r="W27" s="668">
        <f>J27</f>
        <v>100</v>
      </c>
      <c r="X27" s="1264"/>
      <c r="Y27" s="3365"/>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7"/>
      <c r="M28" s="2439"/>
      <c r="N28" s="2439"/>
      <c r="O28" s="2439"/>
      <c r="P28" s="3409"/>
      <c r="Q28" s="530" t="str">
        <f t="shared" si="11"/>
        <v>朝向</v>
      </c>
      <c r="R28" s="664" t="s">
        <v>14</v>
      </c>
      <c r="S28" s="665">
        <f>F28</f>
        <v>100</v>
      </c>
      <c r="T28" s="664" t="s">
        <v>14</v>
      </c>
      <c r="U28" s="665">
        <f>H28</f>
        <v>100</v>
      </c>
      <c r="V28" s="664" t="s">
        <v>14</v>
      </c>
      <c r="W28" s="665">
        <f>J28</f>
        <v>100</v>
      </c>
      <c r="X28" s="666"/>
      <c r="Y28" s="3365"/>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1"/>
      <c r="M29" s="2486"/>
      <c r="N29" s="2486"/>
      <c r="O29" s="2486"/>
      <c r="P29" s="3409"/>
      <c r="Q29" s="1262">
        <f t="shared" si="11"/>
        <v>111</v>
      </c>
      <c r="R29" s="667" t="s">
        <v>14</v>
      </c>
      <c r="S29" s="668">
        <f t="shared" ref="S29:S47" si="12">F29</f>
        <v>100</v>
      </c>
      <c r="T29" s="667" t="s">
        <v>14</v>
      </c>
      <c r="U29" s="668">
        <f t="shared" ref="U29:U47" si="13">H29</f>
        <v>100</v>
      </c>
      <c r="V29" s="667" t="s">
        <v>14</v>
      </c>
      <c r="W29" s="668">
        <f t="shared" ref="W29:W47" si="14">J29</f>
        <v>100</v>
      </c>
      <c r="X29" s="1264"/>
      <c r="Y29" s="3365"/>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1"/>
      <c r="M30" s="2486"/>
      <c r="N30" s="2486"/>
      <c r="O30" s="2486"/>
      <c r="P30" s="3409"/>
      <c r="Q30" s="1262">
        <f t="shared" si="11"/>
        <v>111</v>
      </c>
      <c r="R30" s="667" t="s">
        <v>14</v>
      </c>
      <c r="S30" s="668">
        <f t="shared" si="12"/>
        <v>100</v>
      </c>
      <c r="T30" s="667" t="s">
        <v>14</v>
      </c>
      <c r="U30" s="668">
        <f t="shared" si="13"/>
        <v>100</v>
      </c>
      <c r="V30" s="667" t="s">
        <v>14</v>
      </c>
      <c r="W30" s="668">
        <f t="shared" si="14"/>
        <v>100</v>
      </c>
      <c r="X30" s="1264"/>
      <c r="Y30" s="3365"/>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1"/>
      <c r="M31" s="2486"/>
      <c r="N31" s="2486"/>
      <c r="O31" s="2486"/>
      <c r="P31" s="3409"/>
      <c r="Q31" s="1262">
        <f t="shared" si="11"/>
        <v>111</v>
      </c>
      <c r="R31" s="667" t="s">
        <v>14</v>
      </c>
      <c r="S31" s="668">
        <f t="shared" si="12"/>
        <v>100</v>
      </c>
      <c r="T31" s="667" t="s">
        <v>14</v>
      </c>
      <c r="U31" s="668">
        <f t="shared" si="13"/>
        <v>100</v>
      </c>
      <c r="V31" s="667" t="s">
        <v>14</v>
      </c>
      <c r="W31" s="668">
        <f t="shared" si="14"/>
        <v>100</v>
      </c>
      <c r="X31" s="1264"/>
      <c r="Y31" s="3365"/>
      <c r="Z31" s="1263">
        <f t="shared" si="15"/>
        <v>111</v>
      </c>
      <c r="AA31" s="1263">
        <f t="shared" si="3"/>
        <v>1</v>
      </c>
      <c r="AB31" s="1263">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1"/>
      <c r="M32" s="2486"/>
      <c r="N32" s="2486"/>
      <c r="O32" s="2486"/>
      <c r="P32" s="3409"/>
      <c r="Q32" s="1262">
        <f t="shared" si="11"/>
        <v>111</v>
      </c>
      <c r="R32" s="667" t="s">
        <v>14</v>
      </c>
      <c r="S32" s="668">
        <f t="shared" si="12"/>
        <v>100</v>
      </c>
      <c r="T32" s="667" t="s">
        <v>14</v>
      </c>
      <c r="U32" s="668">
        <f t="shared" si="13"/>
        <v>100</v>
      </c>
      <c r="V32" s="667" t="s">
        <v>14</v>
      </c>
      <c r="W32" s="668">
        <f t="shared" si="14"/>
        <v>100</v>
      </c>
      <c r="X32" s="1264"/>
      <c r="Y32" s="3365"/>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1"/>
      <c r="M33" s="2486"/>
      <c r="N33" s="2486"/>
      <c r="O33" s="2486"/>
      <c r="P33" s="3404" t="s">
        <v>1696</v>
      </c>
      <c r="Q33" s="1262" t="str">
        <f t="shared" si="11"/>
        <v>建筑类型</v>
      </c>
      <c r="R33" s="667" t="s">
        <v>14</v>
      </c>
      <c r="S33" s="668">
        <f t="shared" si="12"/>
        <v>100</v>
      </c>
      <c r="T33" s="667" t="s">
        <v>14</v>
      </c>
      <c r="U33" s="668">
        <f t="shared" si="13"/>
        <v>100</v>
      </c>
      <c r="V33" s="667" t="s">
        <v>14</v>
      </c>
      <c r="W33" s="668">
        <f t="shared" si="14"/>
        <v>100</v>
      </c>
      <c r="X33" s="1264"/>
      <c r="Y33" s="3367"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05"/>
      <c r="Q34" s="531" t="str">
        <f t="shared" si="11"/>
        <v>项目建筑规模</v>
      </c>
      <c r="R34" s="669" t="s">
        <v>14</v>
      </c>
      <c r="S34" s="670" t="e">
        <f t="shared" si="12"/>
        <v>#N/A</v>
      </c>
      <c r="T34" s="669" t="s">
        <v>14</v>
      </c>
      <c r="U34" s="670" t="e">
        <f t="shared" si="13"/>
        <v>#N/A</v>
      </c>
      <c r="V34" s="669" t="s">
        <v>14</v>
      </c>
      <c r="W34" s="670" t="e">
        <f t="shared" si="14"/>
        <v>#N/A</v>
      </c>
      <c r="X34" s="671"/>
      <c r="Y34" s="3367"/>
      <c r="Z34" s="672"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05"/>
      <c r="Q35" s="1262" t="str">
        <f t="shared" si="11"/>
        <v>建筑结构</v>
      </c>
      <c r="R35" s="667" t="s">
        <v>14</v>
      </c>
      <c r="S35" s="668">
        <f t="shared" si="12"/>
        <v>100</v>
      </c>
      <c r="T35" s="667" t="s">
        <v>14</v>
      </c>
      <c r="U35" s="668">
        <f t="shared" si="13"/>
        <v>100</v>
      </c>
      <c r="V35" s="667" t="s">
        <v>14</v>
      </c>
      <c r="W35" s="668">
        <f t="shared" si="14"/>
        <v>100</v>
      </c>
      <c r="X35" s="1264"/>
      <c r="Y35" s="3367"/>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05"/>
      <c r="Q36" s="1262" t="str">
        <f t="shared" si="11"/>
        <v>公共部分装修</v>
      </c>
      <c r="R36" s="667" t="s">
        <v>14</v>
      </c>
      <c r="S36" s="668">
        <f t="shared" si="12"/>
        <v>100</v>
      </c>
      <c r="T36" s="667" t="s">
        <v>14</v>
      </c>
      <c r="U36" s="668">
        <f t="shared" si="13"/>
        <v>100</v>
      </c>
      <c r="V36" s="667" t="s">
        <v>14</v>
      </c>
      <c r="W36" s="668">
        <f t="shared" si="14"/>
        <v>100</v>
      </c>
      <c r="X36" s="1264"/>
      <c r="Y36" s="3367"/>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05"/>
      <c r="Q37" s="1262" t="str">
        <f t="shared" si="11"/>
        <v>成新度</v>
      </c>
      <c r="R37" s="667" t="s">
        <v>14</v>
      </c>
      <c r="S37" s="668" t="e">
        <f t="shared" si="12"/>
        <v>#N/A</v>
      </c>
      <c r="T37" s="667" t="s">
        <v>14</v>
      </c>
      <c r="U37" s="668" t="e">
        <f t="shared" si="13"/>
        <v>#N/A</v>
      </c>
      <c r="V37" s="667" t="s">
        <v>14</v>
      </c>
      <c r="W37" s="668" t="e">
        <f t="shared" si="14"/>
        <v>#N/A</v>
      </c>
      <c r="X37" s="1264"/>
      <c r="Y37" s="3367"/>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05"/>
      <c r="Q38" s="530" t="str">
        <f t="shared" si="11"/>
        <v>写字楼等级</v>
      </c>
      <c r="R38" s="664" t="s">
        <v>14</v>
      </c>
      <c r="S38" s="665">
        <f t="shared" si="12"/>
        <v>100</v>
      </c>
      <c r="T38" s="664" t="s">
        <v>14</v>
      </c>
      <c r="U38" s="665">
        <f t="shared" si="13"/>
        <v>100</v>
      </c>
      <c r="V38" s="664" t="s">
        <v>14</v>
      </c>
      <c r="W38" s="665">
        <f t="shared" si="14"/>
        <v>100</v>
      </c>
      <c r="X38" s="666"/>
      <c r="Y38" s="336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05" t="s">
        <v>1696</v>
      </c>
      <c r="Q39" s="1262" t="str">
        <f t="shared" si="11"/>
        <v>物业管理</v>
      </c>
      <c r="R39" s="667" t="s">
        <v>14</v>
      </c>
      <c r="S39" s="668">
        <f t="shared" si="12"/>
        <v>100</v>
      </c>
      <c r="T39" s="667" t="s">
        <v>14</v>
      </c>
      <c r="U39" s="668">
        <f t="shared" si="13"/>
        <v>100</v>
      </c>
      <c r="V39" s="667" t="s">
        <v>14</v>
      </c>
      <c r="W39" s="668">
        <f t="shared" si="14"/>
        <v>100</v>
      </c>
      <c r="X39" s="1264"/>
      <c r="Y39" s="3367"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05"/>
      <c r="Q40" s="1262" t="str">
        <f t="shared" si="11"/>
        <v>市政基础设施</v>
      </c>
      <c r="R40" s="667" t="s">
        <v>14</v>
      </c>
      <c r="S40" s="668">
        <f t="shared" si="12"/>
        <v>100</v>
      </c>
      <c r="T40" s="667" t="s">
        <v>14</v>
      </c>
      <c r="U40" s="668">
        <f t="shared" si="13"/>
        <v>100</v>
      </c>
      <c r="V40" s="667" t="s">
        <v>14</v>
      </c>
      <c r="W40" s="668">
        <f t="shared" si="14"/>
        <v>100</v>
      </c>
      <c r="X40" s="1264"/>
      <c r="Y40" s="3367"/>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05"/>
      <c r="Q41" s="1262" t="str">
        <f t="shared" si="11"/>
        <v>层高</v>
      </c>
      <c r="R41" s="667" t="s">
        <v>14</v>
      </c>
      <c r="S41" s="668">
        <f t="shared" si="12"/>
        <v>100</v>
      </c>
      <c r="T41" s="667" t="s">
        <v>14</v>
      </c>
      <c r="U41" s="668">
        <f t="shared" si="13"/>
        <v>100</v>
      </c>
      <c r="V41" s="667" t="s">
        <v>14</v>
      </c>
      <c r="W41" s="668">
        <f t="shared" si="14"/>
        <v>100</v>
      </c>
      <c r="X41" s="1264"/>
      <c r="Y41" s="3367"/>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05"/>
      <c r="Q42" s="531" t="str">
        <f t="shared" si="11"/>
        <v>单套建筑面积</v>
      </c>
      <c r="R42" s="669" t="s">
        <v>14</v>
      </c>
      <c r="S42" s="670">
        <f t="shared" si="12"/>
        <v>100</v>
      </c>
      <c r="T42" s="669" t="s">
        <v>14</v>
      </c>
      <c r="U42" s="670">
        <f t="shared" si="13"/>
        <v>100</v>
      </c>
      <c r="V42" s="669" t="s">
        <v>14</v>
      </c>
      <c r="W42" s="670">
        <f t="shared" si="14"/>
        <v>100</v>
      </c>
      <c r="X42" s="671"/>
      <c r="Y42" s="3367"/>
      <c r="Z42" s="672"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05"/>
      <c r="Q43" s="1262" t="str">
        <f t="shared" si="11"/>
        <v>内部装修</v>
      </c>
      <c r="R43" s="667" t="s">
        <v>14</v>
      </c>
      <c r="S43" s="668">
        <f t="shared" si="12"/>
        <v>100</v>
      </c>
      <c r="T43" s="667" t="s">
        <v>14</v>
      </c>
      <c r="U43" s="668">
        <f t="shared" si="13"/>
        <v>100</v>
      </c>
      <c r="V43" s="667" t="s">
        <v>14</v>
      </c>
      <c r="W43" s="668">
        <f t="shared" si="14"/>
        <v>100</v>
      </c>
      <c r="X43" s="1264"/>
      <c r="Y43" s="3367"/>
      <c r="Z43" s="1263" t="str">
        <f t="shared" si="15"/>
        <v>内部装修</v>
      </c>
      <c r="AA43" s="1263">
        <f t="shared" si="3"/>
        <v>1</v>
      </c>
      <c r="AB43" s="1263">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1"/>
      <c r="M44" s="2486"/>
      <c r="N44" s="2486"/>
      <c r="O44" s="2486"/>
      <c r="P44" s="3405"/>
      <c r="Q44" s="1262" t="str">
        <f t="shared" si="11"/>
        <v>内部装修维护情况</v>
      </c>
      <c r="R44" s="667" t="s">
        <v>14</v>
      </c>
      <c r="S44" s="668">
        <f t="shared" si="12"/>
        <v>100</v>
      </c>
      <c r="T44" s="667" t="s">
        <v>14</v>
      </c>
      <c r="U44" s="668">
        <f t="shared" si="13"/>
        <v>100</v>
      </c>
      <c r="V44" s="667" t="s">
        <v>14</v>
      </c>
      <c r="W44" s="668">
        <f t="shared" si="14"/>
        <v>100</v>
      </c>
      <c r="X44" s="1264"/>
      <c r="Y44" s="3367"/>
      <c r="Z44" s="1263" t="str">
        <f t="shared" si="15"/>
        <v>内部装修维护情况</v>
      </c>
      <c r="AA44" s="1263">
        <f t="shared" si="3"/>
        <v>1</v>
      </c>
      <c r="AB44" s="1263">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05"/>
      <c r="Q45" s="530">
        <f t="shared" si="11"/>
        <v>111</v>
      </c>
      <c r="R45" s="664" t="s">
        <v>14</v>
      </c>
      <c r="S45" s="665">
        <f t="shared" si="12"/>
        <v>100</v>
      </c>
      <c r="T45" s="664" t="s">
        <v>14</v>
      </c>
      <c r="U45" s="665">
        <f t="shared" si="13"/>
        <v>100</v>
      </c>
      <c r="V45" s="664" t="s">
        <v>14</v>
      </c>
      <c r="W45" s="665">
        <f t="shared" si="14"/>
        <v>100</v>
      </c>
      <c r="X45" s="666"/>
      <c r="Y45" s="336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05"/>
      <c r="Q46" s="1262">
        <f t="shared" si="11"/>
        <v>111</v>
      </c>
      <c r="R46" s="667" t="s">
        <v>14</v>
      </c>
      <c r="S46" s="668">
        <f t="shared" si="12"/>
        <v>100</v>
      </c>
      <c r="T46" s="667" t="s">
        <v>14</v>
      </c>
      <c r="U46" s="668">
        <f t="shared" si="13"/>
        <v>100</v>
      </c>
      <c r="V46" s="667" t="s">
        <v>14</v>
      </c>
      <c r="W46" s="668">
        <f t="shared" si="14"/>
        <v>100</v>
      </c>
      <c r="X46" s="1264"/>
      <c r="Y46" s="3367"/>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06"/>
      <c r="Q47" s="1262">
        <f t="shared" si="11"/>
        <v>111</v>
      </c>
      <c r="R47" s="667" t="s">
        <v>14</v>
      </c>
      <c r="S47" s="668">
        <f t="shared" si="12"/>
        <v>100</v>
      </c>
      <c r="T47" s="667" t="s">
        <v>14</v>
      </c>
      <c r="U47" s="668">
        <f t="shared" si="13"/>
        <v>100</v>
      </c>
      <c r="V47" s="667" t="s">
        <v>14</v>
      </c>
      <c r="W47" s="668">
        <f t="shared" si="14"/>
        <v>100</v>
      </c>
      <c r="X47" s="1264"/>
      <c r="Y47" s="3407"/>
      <c r="Z47" s="1263">
        <f t="shared" si="15"/>
        <v>111</v>
      </c>
      <c r="AA47" s="1263">
        <f t="shared" si="3"/>
        <v>1</v>
      </c>
      <c r="AB47" s="1263">
        <f t="shared" si="4"/>
        <v>1</v>
      </c>
      <c r="AC47" s="1811">
        <f t="shared" si="5"/>
        <v>1</v>
      </c>
    </row>
    <row r="48" spans="1:29" ht="15">
      <c r="A48" s="416" t="s">
        <v>1708</v>
      </c>
      <c r="B48" s="417"/>
      <c r="C48" s="1081" t="s">
        <v>0</v>
      </c>
      <c r="D48" s="418"/>
      <c r="E48" s="419"/>
      <c r="F48" s="420"/>
      <c r="G48" s="421"/>
      <c r="H48" s="422"/>
      <c r="I48" s="419"/>
      <c r="J48" s="422"/>
      <c r="K48" s="674"/>
      <c r="L48" s="2493"/>
      <c r="M48" s="2486"/>
      <c r="N48" s="2486"/>
      <c r="O48" s="2486"/>
      <c r="P48" s="3373" t="str">
        <f>A48</f>
        <v>成交单价（元/平方米）</v>
      </c>
      <c r="Q48" s="3349"/>
      <c r="R48" s="3362">
        <f>E48</f>
        <v>0</v>
      </c>
      <c r="S48" s="3362"/>
      <c r="T48" s="3362">
        <f>G48</f>
        <v>0</v>
      </c>
      <c r="U48" s="3362"/>
      <c r="V48" s="3362">
        <f>I48</f>
        <v>0</v>
      </c>
      <c r="W48" s="3362"/>
      <c r="X48" s="385"/>
      <c r="Y48" s="673"/>
      <c r="Z48" s="385"/>
      <c r="AA48" s="385"/>
      <c r="AB48" s="385"/>
      <c r="AC48" s="555"/>
    </row>
    <row r="49" spans="1:29" ht="15.75" thickBot="1">
      <c r="A49" s="423" t="s">
        <v>1793</v>
      </c>
      <c r="B49" s="424"/>
      <c r="C49" s="1082" t="e">
        <f>R50</f>
        <v>#DIV/0!</v>
      </c>
      <c r="D49" s="2140" t="s">
        <v>2138</v>
      </c>
      <c r="E49" s="1083" t="e">
        <f>R49</f>
        <v>#DIV/0!</v>
      </c>
      <c r="F49" s="2141"/>
      <c r="G49" s="1082" t="e">
        <f>T49</f>
        <v>#DIV/0!</v>
      </c>
      <c r="H49" s="2141"/>
      <c r="I49" s="1083" t="e">
        <f>V49</f>
        <v>#DIV/0!</v>
      </c>
      <c r="J49" s="2141"/>
      <c r="K49" s="2143">
        <f>F49+H49+J49</f>
        <v>0</v>
      </c>
      <c r="L49" s="2493"/>
      <c r="M49" s="2486"/>
      <c r="N49" s="2486"/>
      <c r="O49" s="2486"/>
      <c r="P49" s="3373" t="str">
        <f>A49</f>
        <v>比较价值（元/平方米）</v>
      </c>
      <c r="Q49" s="3349"/>
      <c r="R49" s="3362" t="e">
        <f>IF(F1="售价",ROUND(PRODUCT(R48,AA7:AA47),0),ROUND(PRODUCT(R48,AA7:AA47),1))</f>
        <v>#DIV/0!</v>
      </c>
      <c r="S49" s="3362"/>
      <c r="T49" s="3362" t="e">
        <f>IF(F1="售价",ROUND(PRODUCT(T48,AB7:AB47),0),ROUND(PRODUCT(T48,AB7:AB47),1))</f>
        <v>#DIV/0!</v>
      </c>
      <c r="U49" s="3362"/>
      <c r="V49" s="3362" t="e">
        <f>IF(F1="售价",ROUND(PRODUCT(V48,AC7:AC47),0),ROUND(PRODUCT(V48,AC7:AC47),1))</f>
        <v>#DIV/0!</v>
      </c>
      <c r="W49" s="3362"/>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3"/>
      <c r="M50" s="2486"/>
      <c r="N50" s="2486"/>
      <c r="O50" s="2486"/>
      <c r="P50" s="3422" t="str">
        <f>A50</f>
        <v>估价对象XX用房的比较价值（楼面单价，元/平方米）</v>
      </c>
      <c r="Q50" s="3423"/>
      <c r="R50" s="3424" t="e">
        <f>IF(F1="售价",ROUND(IF(D49="简单平均",AVERAGE(R49:V49),R49*F49+T49*H49+V49*J49),0),ROUND(IF(D49="简单平均",AVERAGE(R49:V49),R49*F49+T49*H49+V49*J49),1))</f>
        <v>#DIV/0!</v>
      </c>
      <c r="S50" s="3424"/>
      <c r="T50" s="3424"/>
      <c r="U50" s="3424"/>
      <c r="V50" s="3424"/>
      <c r="W50" s="3424"/>
      <c r="X50" s="1797"/>
      <c r="Y50" s="1797"/>
      <c r="Z50" s="1797"/>
      <c r="AA50" s="1797"/>
      <c r="AB50" s="1797"/>
      <c r="AC50" s="1798"/>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2" t="str">
        <f>YEAR(C7)&amp;"-"&amp;MONTH(C7)</f>
        <v>2024-9</v>
      </c>
      <c r="D59" s="1103">
        <f>EDATE(C59,-1)</f>
        <v>45505</v>
      </c>
      <c r="E59" s="1103">
        <f>EDATE(D59,-1)</f>
        <v>45474</v>
      </c>
      <c r="F59" s="1103">
        <f t="shared" ref="F59:O59" si="16">EDATE(E59,-1)</f>
        <v>45444</v>
      </c>
      <c r="G59" s="1103">
        <f t="shared" si="16"/>
        <v>45413</v>
      </c>
      <c r="H59" s="1103">
        <f t="shared" si="16"/>
        <v>45383</v>
      </c>
      <c r="I59" s="1103">
        <f t="shared" si="16"/>
        <v>45352</v>
      </c>
      <c r="J59" s="1103">
        <f t="shared" si="16"/>
        <v>45323</v>
      </c>
      <c r="K59" s="1103">
        <f t="shared" si="16"/>
        <v>45292</v>
      </c>
      <c r="L59" s="1103">
        <f t="shared" si="16"/>
        <v>45261</v>
      </c>
      <c r="M59" s="1103">
        <f t="shared" si="16"/>
        <v>45231</v>
      </c>
      <c r="N59" s="1103">
        <f t="shared" si="16"/>
        <v>45200</v>
      </c>
      <c r="O59" s="1103">
        <f t="shared" si="16"/>
        <v>45170</v>
      </c>
      <c r="P59" s="2526"/>
      <c r="Q59" s="2509"/>
      <c r="R59" s="2509"/>
      <c r="S59" s="2509"/>
      <c r="T59" s="2509"/>
      <c r="U59" s="2509"/>
      <c r="V59" s="2509"/>
      <c r="W59" s="2509"/>
      <c r="X59" s="2509"/>
      <c r="Y59" s="2509"/>
      <c r="Z59" s="2509"/>
      <c r="AA59" s="2509"/>
      <c r="AB59" s="2509"/>
      <c r="AC59" s="2509"/>
    </row>
    <row r="60" spans="1:29" s="102" customFormat="1" ht="15">
      <c r="A60" s="443"/>
      <c r="B60" s="444"/>
      <c r="C60" s="1101">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5"/>
      <c r="M119" s="1816"/>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G26 C26 E26 I26" xr:uid="{00000000-0002-0000-1E00-000008000000}">
      <formula1>办公道路级别</formula1>
    </dataValidation>
    <dataValidation type="list" allowBlank="1" showInputMessage="1" showErrorMessage="1" sqref="C28 E28 G28 I28" xr:uid="{00000000-0002-0000-1E00-000009000000}">
      <formula1>办公朝向</formula1>
    </dataValidation>
    <dataValidation type="list" allowBlank="1" showInputMessage="1" showErrorMessage="1" sqref="C27 E27 G27 I27" xr:uid="{00000000-0002-0000-1E00-00000A000000}">
      <formula1>办公楼层</formula1>
    </dataValidation>
    <dataValidation type="list" allowBlank="1" showInputMessage="1" showErrorMessage="1" sqref="C33 E33 G33 I33" xr:uid="{00000000-0002-0000-1E00-00000B000000}">
      <formula1>办公建筑类型</formula1>
    </dataValidation>
    <dataValidation type="list" allowBlank="1" showInputMessage="1" showErrorMessage="1" sqref="C36 E36 G36 I36" xr:uid="{00000000-0002-0000-1E00-00000C000000}">
      <formula1>办公公共部分装修</formula1>
    </dataValidation>
    <dataValidation type="list" allowBlank="1" showInputMessage="1" showErrorMessage="1" sqref="C38 E38 G38 I38" xr:uid="{00000000-0002-0000-1E00-00000D000000}">
      <formula1>写字楼等级</formula1>
    </dataValidation>
    <dataValidation type="list" allowBlank="1" showInputMessage="1" showErrorMessage="1" sqref="C39 E39 G39 I39" xr:uid="{00000000-0002-0000-1E00-00000E000000}">
      <formula1>办公物业管理</formula1>
    </dataValidation>
    <dataValidation type="list" allowBlank="1" showInputMessage="1" showErrorMessage="1" sqref="C40 E40 G40 I40" xr:uid="{00000000-0002-0000-1E00-00000F000000}">
      <formula1>办公基础设施水平</formula1>
    </dataValidation>
    <dataValidation type="list" allowBlank="1" showInputMessage="1" showErrorMessage="1" sqref="C41 E41 G41 I41" xr:uid="{00000000-0002-0000-1E00-000010000000}">
      <formula1>办公层高</formula1>
    </dataValidation>
    <dataValidation type="list" allowBlank="1" showInputMessage="1" showErrorMessage="1" sqref="C43 E43 G43 I43" xr:uid="{00000000-0002-0000-1E00-000011000000}">
      <formula1>办公内部装修</formula1>
    </dataValidation>
    <dataValidation type="list" allowBlank="1" showInputMessage="1" showErrorMessage="1" sqref="C8 E8 G8 I8" xr:uid="{00000000-0002-0000-1E00-000012000000}">
      <formula1>办公交易情况</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9"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2375.33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50" t="s">
        <v>1770</v>
      </c>
      <c r="D4" s="3351"/>
      <c r="E4" s="3352" t="s">
        <v>1771</v>
      </c>
      <c r="F4" s="3353"/>
      <c r="G4" s="3350" t="s">
        <v>1772</v>
      </c>
      <c r="H4" s="3351"/>
      <c r="I4" s="3350" t="s">
        <v>1773</v>
      </c>
      <c r="J4" s="3351"/>
      <c r="K4" s="537" t="s">
        <v>1774</v>
      </c>
      <c r="L4" s="860"/>
      <c r="M4" s="861"/>
      <c r="N4" s="861"/>
      <c r="O4" s="861"/>
      <c r="P4" s="3354" t="s">
        <v>1775</v>
      </c>
      <c r="Q4" s="3355"/>
      <c r="R4" s="3337" t="s">
        <v>1771</v>
      </c>
      <c r="S4" s="3338"/>
      <c r="T4" s="3337" t="s">
        <v>1772</v>
      </c>
      <c r="U4" s="3338"/>
      <c r="V4" s="3362" t="s">
        <v>1773</v>
      </c>
      <c r="W4" s="3362"/>
      <c r="X4" s="1264"/>
      <c r="Y4" s="3337" t="s">
        <v>1775</v>
      </c>
      <c r="Z4" s="3338"/>
      <c r="AA4" s="3332" t="s">
        <v>1771</v>
      </c>
      <c r="AB4" s="3333" t="s">
        <v>1772</v>
      </c>
      <c r="AC4" s="3332" t="s">
        <v>1773</v>
      </c>
    </row>
    <row r="5" spans="1:29" ht="15">
      <c r="A5" s="348"/>
      <c r="B5" s="349"/>
      <c r="C5" s="3343" t="s">
        <v>1673</v>
      </c>
      <c r="D5" s="3344"/>
      <c r="E5" s="3341" t="s">
        <v>1674</v>
      </c>
      <c r="F5" s="3342"/>
      <c r="G5" s="3343" t="s">
        <v>1675</v>
      </c>
      <c r="H5" s="3344"/>
      <c r="I5" s="3343" t="s">
        <v>1676</v>
      </c>
      <c r="J5" s="3344"/>
      <c r="K5" s="537"/>
      <c r="L5" s="860"/>
      <c r="M5" s="861"/>
      <c r="N5" s="861"/>
      <c r="O5" s="861"/>
      <c r="P5" s="3356"/>
      <c r="Q5" s="3357"/>
      <c r="R5" s="3339"/>
      <c r="S5" s="3340"/>
      <c r="T5" s="3339"/>
      <c r="U5" s="3340"/>
      <c r="V5" s="3362"/>
      <c r="W5" s="3362"/>
      <c r="X5" s="1264"/>
      <c r="Y5" s="3339"/>
      <c r="Z5" s="3340"/>
      <c r="AA5" s="3333"/>
      <c r="AB5" s="3333"/>
      <c r="AC5" s="3333"/>
    </row>
    <row r="6" spans="1:29" ht="15.75" thickBot="1">
      <c r="A6" s="350"/>
      <c r="B6" s="351"/>
      <c r="C6" s="3345" t="s">
        <v>1677</v>
      </c>
      <c r="D6" s="3346"/>
      <c r="E6" s="3347" t="s">
        <v>1677</v>
      </c>
      <c r="F6" s="3348"/>
      <c r="G6" s="3345" t="s">
        <v>1677</v>
      </c>
      <c r="H6" s="3346"/>
      <c r="I6" s="3345" t="s">
        <v>1677</v>
      </c>
      <c r="J6" s="3346"/>
      <c r="K6" s="537" t="s">
        <v>1678</v>
      </c>
      <c r="L6" s="860"/>
      <c r="M6" s="861"/>
      <c r="N6" s="861"/>
      <c r="O6" s="861"/>
      <c r="P6" s="3358"/>
      <c r="Q6" s="3359"/>
      <c r="R6" s="3339"/>
      <c r="S6" s="3340"/>
      <c r="T6" s="3360"/>
      <c r="U6" s="3361"/>
      <c r="V6" s="3362"/>
      <c r="W6" s="3362"/>
      <c r="X6" s="1264"/>
      <c r="Y6" s="3360"/>
      <c r="Z6" s="3361"/>
      <c r="AA6" s="3334"/>
      <c r="AB6" s="3334"/>
      <c r="AC6" s="3334"/>
    </row>
    <row r="7" spans="1:29" s="102" customFormat="1" ht="15.75" thickBot="1">
      <c r="A7" s="352" t="s">
        <v>1679</v>
      </c>
      <c r="B7" s="353"/>
      <c r="C7" s="354">
        <f>'数据-取费表'!B2</f>
        <v>45544</v>
      </c>
      <c r="D7" s="355">
        <v>100</v>
      </c>
      <c r="E7" s="356"/>
      <c r="F7" s="357">
        <f>SUMIF(52:52,YEAR(E7)&amp;"-"&amp;MONTH(E7),53:53)</f>
        <v>0</v>
      </c>
      <c r="G7" s="356"/>
      <c r="H7" s="355">
        <f>SUMIF(52:52,YEAR(G7)&amp;"-"&amp;MONTH(G7),53:53)</f>
        <v>0</v>
      </c>
      <c r="I7" s="356"/>
      <c r="J7" s="355">
        <f>SUMIF(52:52,YEAR(I7)&amp;"-"&amp;MONTH(I7),53:53)</f>
        <v>0</v>
      </c>
      <c r="K7" s="38"/>
      <c r="L7" s="862"/>
      <c r="M7" s="863"/>
      <c r="N7" s="863"/>
      <c r="O7" s="863"/>
      <c r="P7" s="3335" t="s">
        <v>1680</v>
      </c>
      <c r="Q7" s="3363"/>
      <c r="R7" s="664" t="s">
        <v>14</v>
      </c>
      <c r="S7" s="665">
        <f t="shared" ref="S7:S15" si="0">F7</f>
        <v>0</v>
      </c>
      <c r="T7" s="664" t="s">
        <v>14</v>
      </c>
      <c r="U7" s="665">
        <f t="shared" ref="U7:U15" si="1">H7</f>
        <v>0</v>
      </c>
      <c r="V7" s="664" t="s">
        <v>14</v>
      </c>
      <c r="W7" s="665">
        <f t="shared" ref="W7:W15" si="2">J7</f>
        <v>0</v>
      </c>
      <c r="X7" s="666"/>
      <c r="Y7" s="3335" t="s">
        <v>1680</v>
      </c>
      <c r="Z7" s="3336"/>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35" t="s">
        <v>1683</v>
      </c>
      <c r="Q8" s="3336"/>
      <c r="R8" s="664" t="s">
        <v>14</v>
      </c>
      <c r="S8" s="665">
        <f t="shared" si="0"/>
        <v>100</v>
      </c>
      <c r="T8" s="664" t="s">
        <v>14</v>
      </c>
      <c r="U8" s="665">
        <f t="shared" si="1"/>
        <v>100</v>
      </c>
      <c r="V8" s="664" t="s">
        <v>14</v>
      </c>
      <c r="W8" s="665">
        <f t="shared" si="2"/>
        <v>100</v>
      </c>
      <c r="X8" s="666"/>
      <c r="Y8" s="3335" t="s">
        <v>1683</v>
      </c>
      <c r="Z8" s="3336"/>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49" t="s">
        <v>1686</v>
      </c>
      <c r="Q9" s="530" t="str">
        <f t="shared" ref="Q9:Q15" si="6">B9</f>
        <v>用途</v>
      </c>
      <c r="R9" s="664" t="s">
        <v>14</v>
      </c>
      <c r="S9" s="665">
        <f t="shared" si="0"/>
        <v>100</v>
      </c>
      <c r="T9" s="664" t="s">
        <v>14</v>
      </c>
      <c r="U9" s="665">
        <f t="shared" si="1"/>
        <v>100</v>
      </c>
      <c r="V9" s="664" t="s">
        <v>14</v>
      </c>
      <c r="W9" s="665">
        <f t="shared" si="2"/>
        <v>100</v>
      </c>
      <c r="X9" s="666"/>
      <c r="Y9" s="3308"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49"/>
      <c r="Q10" s="530" t="str">
        <f t="shared" si="6"/>
        <v>土地使用年限（年）</v>
      </c>
      <c r="R10" s="664" t="s">
        <v>14</v>
      </c>
      <c r="S10" s="665">
        <f t="shared" si="0"/>
        <v>100</v>
      </c>
      <c r="T10" s="664" t="s">
        <v>14</v>
      </c>
      <c r="U10" s="665">
        <f t="shared" si="1"/>
        <v>100</v>
      </c>
      <c r="V10" s="664" t="s">
        <v>14</v>
      </c>
      <c r="W10" s="665">
        <f t="shared" si="2"/>
        <v>100</v>
      </c>
      <c r="X10" s="666"/>
      <c r="Y10" s="330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49"/>
      <c r="Q11" s="530" t="str">
        <f t="shared" si="6"/>
        <v>容积率</v>
      </c>
      <c r="R11" s="664" t="s">
        <v>14</v>
      </c>
      <c r="S11" s="665">
        <f t="shared" si="0"/>
        <v>100</v>
      </c>
      <c r="T11" s="664" t="s">
        <v>14</v>
      </c>
      <c r="U11" s="665">
        <f t="shared" si="1"/>
        <v>100</v>
      </c>
      <c r="V11" s="664" t="s">
        <v>14</v>
      </c>
      <c r="W11" s="665">
        <f t="shared" si="2"/>
        <v>100</v>
      </c>
      <c r="X11" s="666"/>
      <c r="Y11" s="330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349"/>
      <c r="Q12" s="530">
        <f t="shared" si="6"/>
        <v>111</v>
      </c>
      <c r="R12" s="664" t="s">
        <v>14</v>
      </c>
      <c r="S12" s="665">
        <f t="shared" si="0"/>
        <v>100</v>
      </c>
      <c r="T12" s="664" t="s">
        <v>14</v>
      </c>
      <c r="U12" s="665">
        <f t="shared" si="1"/>
        <v>100</v>
      </c>
      <c r="V12" s="664" t="s">
        <v>14</v>
      </c>
      <c r="W12" s="665">
        <f t="shared" si="2"/>
        <v>100</v>
      </c>
      <c r="X12" s="666"/>
      <c r="Y12" s="330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349"/>
      <c r="Q13" s="530">
        <f t="shared" si="6"/>
        <v>111</v>
      </c>
      <c r="R13" s="664" t="s">
        <v>14</v>
      </c>
      <c r="S13" s="665">
        <f t="shared" si="0"/>
        <v>100</v>
      </c>
      <c r="T13" s="664" t="s">
        <v>14</v>
      </c>
      <c r="U13" s="665">
        <f t="shared" si="1"/>
        <v>100</v>
      </c>
      <c r="V13" s="664" t="s">
        <v>14</v>
      </c>
      <c r="W13" s="665">
        <f t="shared" si="2"/>
        <v>100</v>
      </c>
      <c r="X13" s="666"/>
      <c r="Y13" s="3308"/>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349"/>
      <c r="Q14" s="530">
        <f t="shared" si="6"/>
        <v>111</v>
      </c>
      <c r="R14" s="664" t="s">
        <v>14</v>
      </c>
      <c r="S14" s="665">
        <f t="shared" si="0"/>
        <v>100</v>
      </c>
      <c r="T14" s="664" t="s">
        <v>14</v>
      </c>
      <c r="U14" s="665">
        <f t="shared" si="1"/>
        <v>100</v>
      </c>
      <c r="V14" s="664" t="s">
        <v>14</v>
      </c>
      <c r="W14" s="665">
        <f t="shared" si="2"/>
        <v>100</v>
      </c>
      <c r="X14" s="666"/>
      <c r="Y14" s="3308"/>
      <c r="Z14" s="50">
        <f t="shared" si="7"/>
        <v>111</v>
      </c>
      <c r="AA14" s="50">
        <f t="shared" si="3"/>
        <v>1</v>
      </c>
      <c r="AB14" s="50">
        <f t="shared" si="4"/>
        <v>1</v>
      </c>
      <c r="AC14" s="50">
        <f t="shared" si="5"/>
        <v>1</v>
      </c>
    </row>
    <row r="15" spans="1:29" ht="71.25">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64" t="s">
        <v>1691</v>
      </c>
      <c r="Q15" s="1262" t="str">
        <f t="shared" si="6"/>
        <v>产业集聚程度</v>
      </c>
      <c r="R15" s="667" t="s">
        <v>14</v>
      </c>
      <c r="S15" s="668">
        <f t="shared" si="0"/>
        <v>100</v>
      </c>
      <c r="T15" s="667" t="s">
        <v>14</v>
      </c>
      <c r="U15" s="668">
        <f t="shared" si="1"/>
        <v>100</v>
      </c>
      <c r="V15" s="667" t="s">
        <v>14</v>
      </c>
      <c r="W15" s="668">
        <f t="shared" si="2"/>
        <v>100</v>
      </c>
      <c r="X15" s="1264"/>
      <c r="Y15" s="3364"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365"/>
      <c r="Q16" s="1262"/>
      <c r="R16" s="667"/>
      <c r="S16" s="668"/>
      <c r="T16" s="667"/>
      <c r="U16" s="668"/>
      <c r="V16" s="667"/>
      <c r="W16" s="668"/>
      <c r="X16" s="1264"/>
      <c r="Y16" s="3365"/>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65"/>
      <c r="Q17" s="1262" t="str">
        <f>B17</f>
        <v>交通便捷度</v>
      </c>
      <c r="R17" s="667" t="s">
        <v>14</v>
      </c>
      <c r="S17" s="668">
        <f>F17</f>
        <v>100</v>
      </c>
      <c r="T17" s="667" t="s">
        <v>14</v>
      </c>
      <c r="U17" s="668">
        <f>H17</f>
        <v>100</v>
      </c>
      <c r="V17" s="667" t="s">
        <v>14</v>
      </c>
      <c r="W17" s="668">
        <f>J17</f>
        <v>100</v>
      </c>
      <c r="X17" s="1264"/>
      <c r="Y17" s="3365"/>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365"/>
      <c r="Q18" s="1262"/>
      <c r="R18" s="667"/>
      <c r="S18" s="668"/>
      <c r="T18" s="667"/>
      <c r="U18" s="668"/>
      <c r="V18" s="667"/>
      <c r="W18" s="668"/>
      <c r="X18" s="1264"/>
      <c r="Y18" s="3365"/>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65"/>
      <c r="Q19" s="1262" t="str">
        <f>B19</f>
        <v>公共配套设施</v>
      </c>
      <c r="R19" s="667" t="s">
        <v>14</v>
      </c>
      <c r="S19" s="668">
        <f>F19</f>
        <v>100</v>
      </c>
      <c r="T19" s="667" t="s">
        <v>14</v>
      </c>
      <c r="U19" s="668">
        <f>H19</f>
        <v>100</v>
      </c>
      <c r="V19" s="667" t="s">
        <v>14</v>
      </c>
      <c r="W19" s="668">
        <f>J19</f>
        <v>100</v>
      </c>
      <c r="X19" s="1264"/>
      <c r="Y19" s="3365"/>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365"/>
      <c r="Q20" s="1262"/>
      <c r="R20" s="667"/>
      <c r="S20" s="668"/>
      <c r="T20" s="667"/>
      <c r="U20" s="668"/>
      <c r="V20" s="667"/>
      <c r="W20" s="668"/>
      <c r="X20" s="1264"/>
      <c r="Y20" s="3365"/>
      <c r="Z20" s="1263"/>
      <c r="AA20" s="1263">
        <v>1</v>
      </c>
      <c r="AB20" s="1263">
        <v>1</v>
      </c>
      <c r="AC20" s="1263">
        <v>1</v>
      </c>
    </row>
    <row r="21" spans="1:29" ht="42.7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65"/>
      <c r="Q21" s="1262" t="str">
        <f>B21</f>
        <v>基础设施水平</v>
      </c>
      <c r="R21" s="667" t="s">
        <v>14</v>
      </c>
      <c r="S21" s="668">
        <f>F21</f>
        <v>100</v>
      </c>
      <c r="T21" s="667" t="s">
        <v>14</v>
      </c>
      <c r="U21" s="668">
        <f>H21</f>
        <v>100</v>
      </c>
      <c r="V21" s="667" t="s">
        <v>14</v>
      </c>
      <c r="W21" s="668">
        <f>J21</f>
        <v>100</v>
      </c>
      <c r="X21" s="1264"/>
      <c r="Y21" s="3365"/>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365"/>
      <c r="Q22" s="1262"/>
      <c r="R22" s="667"/>
      <c r="S22" s="668"/>
      <c r="T22" s="667"/>
      <c r="U22" s="668"/>
      <c r="V22" s="667"/>
      <c r="W22" s="668"/>
      <c r="X22" s="1264"/>
      <c r="Y22" s="3365"/>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65"/>
      <c r="Q23" s="1262" t="str">
        <f>B23</f>
        <v>环境质量</v>
      </c>
      <c r="R23" s="667" t="s">
        <v>14</v>
      </c>
      <c r="S23" s="668">
        <f>F23</f>
        <v>100</v>
      </c>
      <c r="T23" s="667" t="s">
        <v>14</v>
      </c>
      <c r="U23" s="668">
        <f>H23</f>
        <v>100</v>
      </c>
      <c r="V23" s="667" t="s">
        <v>14</v>
      </c>
      <c r="W23" s="668">
        <f>J23</f>
        <v>100</v>
      </c>
      <c r="X23" s="1264"/>
      <c r="Y23" s="3365"/>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365"/>
      <c r="Q24" s="1262"/>
      <c r="R24" s="667"/>
      <c r="S24" s="668"/>
      <c r="T24" s="667"/>
      <c r="U24" s="668"/>
      <c r="V24" s="667"/>
      <c r="W24" s="668"/>
      <c r="X24" s="1264"/>
      <c r="Y24" s="3365"/>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65"/>
      <c r="Q25" s="1262">
        <f>B25</f>
        <v>111</v>
      </c>
      <c r="R25" s="667" t="s">
        <v>14</v>
      </c>
      <c r="S25" s="668">
        <f>F25</f>
        <v>100</v>
      </c>
      <c r="T25" s="667" t="s">
        <v>14</v>
      </c>
      <c r="U25" s="668">
        <f>H25</f>
        <v>100</v>
      </c>
      <c r="V25" s="667" t="s">
        <v>14</v>
      </c>
      <c r="W25" s="668">
        <f>J25</f>
        <v>100</v>
      </c>
      <c r="X25" s="1264"/>
      <c r="Y25" s="3365"/>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65"/>
      <c r="Q26" s="1262">
        <f t="shared" ref="Q26:Q40" si="11">B26</f>
        <v>111</v>
      </c>
      <c r="R26" s="667" t="s">
        <v>14</v>
      </c>
      <c r="S26" s="668">
        <f>F26</f>
        <v>100</v>
      </c>
      <c r="T26" s="667" t="s">
        <v>14</v>
      </c>
      <c r="U26" s="668">
        <f>H26</f>
        <v>100</v>
      </c>
      <c r="V26" s="667" t="s">
        <v>14</v>
      </c>
      <c r="W26" s="668">
        <f>J26</f>
        <v>100</v>
      </c>
      <c r="X26" s="1264"/>
      <c r="Y26" s="3365"/>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65"/>
      <c r="Q27" s="530">
        <f t="shared" si="11"/>
        <v>111</v>
      </c>
      <c r="R27" s="664" t="s">
        <v>14</v>
      </c>
      <c r="S27" s="665">
        <f>F27</f>
        <v>100</v>
      </c>
      <c r="T27" s="664" t="s">
        <v>14</v>
      </c>
      <c r="U27" s="665">
        <f>H27</f>
        <v>100</v>
      </c>
      <c r="V27" s="664" t="s">
        <v>14</v>
      </c>
      <c r="W27" s="665">
        <f>J27</f>
        <v>100</v>
      </c>
      <c r="X27" s="666"/>
      <c r="Y27" s="3365"/>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65"/>
      <c r="Q28" s="1262">
        <f t="shared" si="11"/>
        <v>111</v>
      </c>
      <c r="R28" s="667" t="s">
        <v>14</v>
      </c>
      <c r="S28" s="668">
        <f t="shared" ref="S28:S40" si="12">F28</f>
        <v>100</v>
      </c>
      <c r="T28" s="667" t="s">
        <v>14</v>
      </c>
      <c r="U28" s="668">
        <f t="shared" ref="U28:U40" si="13">H28</f>
        <v>100</v>
      </c>
      <c r="V28" s="667" t="s">
        <v>14</v>
      </c>
      <c r="W28" s="668">
        <f t="shared" ref="W28:W40" si="14">J28</f>
        <v>100</v>
      </c>
      <c r="X28" s="1264"/>
      <c r="Y28" s="3365"/>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366" t="s">
        <v>1696</v>
      </c>
      <c r="Q29" s="1262" t="str">
        <f t="shared" si="11"/>
        <v>建筑类型</v>
      </c>
      <c r="R29" s="667" t="s">
        <v>14</v>
      </c>
      <c r="S29" s="668">
        <f t="shared" si="12"/>
        <v>100</v>
      </c>
      <c r="T29" s="667" t="s">
        <v>14</v>
      </c>
      <c r="U29" s="668">
        <f t="shared" si="13"/>
        <v>100</v>
      </c>
      <c r="V29" s="667" t="s">
        <v>14</v>
      </c>
      <c r="W29" s="668">
        <f t="shared" si="14"/>
        <v>100</v>
      </c>
      <c r="X29" s="1264"/>
      <c r="Y29" s="3367"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67"/>
      <c r="Q30" s="531" t="str">
        <f t="shared" si="11"/>
        <v>项目建筑规模</v>
      </c>
      <c r="R30" s="669" t="s">
        <v>14</v>
      </c>
      <c r="S30" s="670" t="e">
        <f t="shared" si="12"/>
        <v>#N/A</v>
      </c>
      <c r="T30" s="669" t="s">
        <v>14</v>
      </c>
      <c r="U30" s="670" t="e">
        <f t="shared" si="13"/>
        <v>#N/A</v>
      </c>
      <c r="V30" s="669" t="s">
        <v>14</v>
      </c>
      <c r="W30" s="670" t="e">
        <f t="shared" si="14"/>
        <v>#N/A</v>
      </c>
      <c r="X30" s="671"/>
      <c r="Y30" s="3367"/>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67"/>
      <c r="Q31" s="1262" t="str">
        <f t="shared" si="11"/>
        <v>建筑结构</v>
      </c>
      <c r="R31" s="667" t="s">
        <v>14</v>
      </c>
      <c r="S31" s="668">
        <f t="shared" si="12"/>
        <v>100</v>
      </c>
      <c r="T31" s="667" t="s">
        <v>14</v>
      </c>
      <c r="U31" s="668">
        <f t="shared" si="13"/>
        <v>100</v>
      </c>
      <c r="V31" s="667" t="s">
        <v>14</v>
      </c>
      <c r="W31" s="668">
        <f t="shared" si="14"/>
        <v>100</v>
      </c>
      <c r="X31" s="1264"/>
      <c r="Y31" s="3367"/>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67"/>
      <c r="Q32" s="1262" t="str">
        <f t="shared" si="11"/>
        <v>公共部分装修</v>
      </c>
      <c r="R32" s="667" t="s">
        <v>14</v>
      </c>
      <c r="S32" s="668">
        <f t="shared" si="12"/>
        <v>100</v>
      </c>
      <c r="T32" s="667" t="s">
        <v>14</v>
      </c>
      <c r="U32" s="668">
        <f t="shared" si="13"/>
        <v>100</v>
      </c>
      <c r="V32" s="667" t="s">
        <v>14</v>
      </c>
      <c r="W32" s="668">
        <f t="shared" si="14"/>
        <v>100</v>
      </c>
      <c r="X32" s="1264"/>
      <c r="Y32" s="3367"/>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67"/>
      <c r="Q33" s="1262" t="str">
        <f t="shared" si="11"/>
        <v>成新度</v>
      </c>
      <c r="R33" s="667" t="s">
        <v>14</v>
      </c>
      <c r="S33" s="668" t="e">
        <f t="shared" si="12"/>
        <v>#N/A</v>
      </c>
      <c r="T33" s="667" t="s">
        <v>14</v>
      </c>
      <c r="U33" s="668" t="e">
        <f t="shared" si="13"/>
        <v>#N/A</v>
      </c>
      <c r="V33" s="667" t="s">
        <v>14</v>
      </c>
      <c r="W33" s="668" t="e">
        <f t="shared" si="14"/>
        <v>#N/A</v>
      </c>
      <c r="X33" s="1264"/>
      <c r="Y33" s="3367"/>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67"/>
      <c r="Q34" s="530" t="str">
        <f t="shared" si="11"/>
        <v>物业管理</v>
      </c>
      <c r="R34" s="664" t="s">
        <v>14</v>
      </c>
      <c r="S34" s="665">
        <f t="shared" si="12"/>
        <v>100</v>
      </c>
      <c r="T34" s="664" t="s">
        <v>14</v>
      </c>
      <c r="U34" s="665">
        <f t="shared" si="13"/>
        <v>100</v>
      </c>
      <c r="V34" s="664" t="s">
        <v>14</v>
      </c>
      <c r="W34" s="665">
        <f t="shared" si="14"/>
        <v>100</v>
      </c>
      <c r="X34" s="666"/>
      <c r="Y34" s="336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67" t="s">
        <v>1696</v>
      </c>
      <c r="Q35" s="1262" t="str">
        <f t="shared" si="11"/>
        <v>市政基础设施</v>
      </c>
      <c r="R35" s="667" t="s">
        <v>14</v>
      </c>
      <c r="S35" s="668">
        <f t="shared" si="12"/>
        <v>100</v>
      </c>
      <c r="T35" s="667" t="s">
        <v>14</v>
      </c>
      <c r="U35" s="668">
        <f t="shared" si="13"/>
        <v>100</v>
      </c>
      <c r="V35" s="667" t="s">
        <v>14</v>
      </c>
      <c r="W35" s="668">
        <f t="shared" si="14"/>
        <v>100</v>
      </c>
      <c r="X35" s="1264"/>
      <c r="Y35" s="3367"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67"/>
      <c r="Q36" s="1262" t="str">
        <f t="shared" si="11"/>
        <v>内部装修</v>
      </c>
      <c r="R36" s="667" t="s">
        <v>14</v>
      </c>
      <c r="S36" s="668">
        <f t="shared" si="12"/>
        <v>100</v>
      </c>
      <c r="T36" s="667" t="s">
        <v>14</v>
      </c>
      <c r="U36" s="668">
        <f t="shared" si="13"/>
        <v>100</v>
      </c>
      <c r="V36" s="667" t="s">
        <v>14</v>
      </c>
      <c r="W36" s="668">
        <f t="shared" si="14"/>
        <v>100</v>
      </c>
      <c r="X36" s="1264"/>
      <c r="Y36" s="3367"/>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67"/>
      <c r="Q37" s="1262" t="str">
        <f t="shared" si="11"/>
        <v>内部装修状况</v>
      </c>
      <c r="R37" s="667" t="s">
        <v>14</v>
      </c>
      <c r="S37" s="668">
        <f t="shared" si="12"/>
        <v>100</v>
      </c>
      <c r="T37" s="667" t="s">
        <v>14</v>
      </c>
      <c r="U37" s="668">
        <f t="shared" si="13"/>
        <v>100</v>
      </c>
      <c r="V37" s="667" t="s">
        <v>14</v>
      </c>
      <c r="W37" s="668">
        <f t="shared" si="14"/>
        <v>100</v>
      </c>
      <c r="X37" s="1264"/>
      <c r="Y37" s="3367"/>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67"/>
      <c r="Q38" s="531">
        <f t="shared" si="11"/>
        <v>111</v>
      </c>
      <c r="R38" s="669" t="s">
        <v>14</v>
      </c>
      <c r="S38" s="670">
        <f t="shared" si="12"/>
        <v>100</v>
      </c>
      <c r="T38" s="669" t="s">
        <v>14</v>
      </c>
      <c r="U38" s="670">
        <f t="shared" si="13"/>
        <v>100</v>
      </c>
      <c r="V38" s="669" t="s">
        <v>14</v>
      </c>
      <c r="W38" s="670">
        <f t="shared" si="14"/>
        <v>100</v>
      </c>
      <c r="X38" s="671"/>
      <c r="Y38" s="3367"/>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67"/>
      <c r="Q39" s="1262">
        <f t="shared" si="11"/>
        <v>111</v>
      </c>
      <c r="R39" s="667" t="s">
        <v>14</v>
      </c>
      <c r="S39" s="668">
        <f t="shared" si="12"/>
        <v>100</v>
      </c>
      <c r="T39" s="667" t="s">
        <v>14</v>
      </c>
      <c r="U39" s="668">
        <f t="shared" si="13"/>
        <v>100</v>
      </c>
      <c r="V39" s="667" t="s">
        <v>14</v>
      </c>
      <c r="W39" s="668">
        <f t="shared" si="14"/>
        <v>100</v>
      </c>
      <c r="X39" s="1264"/>
      <c r="Y39" s="3367"/>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7"/>
      <c r="Q40" s="1262">
        <f t="shared" si="11"/>
        <v>111</v>
      </c>
      <c r="R40" s="667" t="s">
        <v>14</v>
      </c>
      <c r="S40" s="668">
        <f t="shared" si="12"/>
        <v>100</v>
      </c>
      <c r="T40" s="667" t="s">
        <v>14</v>
      </c>
      <c r="U40" s="668">
        <f t="shared" si="13"/>
        <v>100</v>
      </c>
      <c r="V40" s="667" t="s">
        <v>14</v>
      </c>
      <c r="W40" s="668">
        <f t="shared" si="14"/>
        <v>100</v>
      </c>
      <c r="X40" s="1264"/>
      <c r="Y40" s="3407"/>
      <c r="Z40" s="1263">
        <f t="shared" si="15"/>
        <v>111</v>
      </c>
      <c r="AA40" s="1263">
        <f t="shared" si="3"/>
        <v>1</v>
      </c>
      <c r="AB40" s="1263">
        <f t="shared" si="4"/>
        <v>1</v>
      </c>
      <c r="AC40" s="1263">
        <f t="shared" si="5"/>
        <v>1</v>
      </c>
    </row>
    <row r="41" spans="1:29" ht="15">
      <c r="A41" s="416" t="s">
        <v>1708</v>
      </c>
      <c r="B41" s="417"/>
      <c r="C41" s="1081" t="s">
        <v>0</v>
      </c>
      <c r="D41" s="418"/>
      <c r="E41" s="419"/>
      <c r="F41" s="420"/>
      <c r="G41" s="421"/>
      <c r="H41" s="422"/>
      <c r="I41" s="419"/>
      <c r="J41" s="422"/>
      <c r="K41" s="674"/>
      <c r="L41" s="873"/>
      <c r="M41" s="861"/>
      <c r="N41" s="861"/>
      <c r="O41" s="861"/>
      <c r="P41" s="3349" t="str">
        <f>A41</f>
        <v>成交单价（元/平方米）</v>
      </c>
      <c r="Q41" s="3349"/>
      <c r="R41" s="3362">
        <f>E41</f>
        <v>0</v>
      </c>
      <c r="S41" s="3362"/>
      <c r="T41" s="3362">
        <f>G41</f>
        <v>0</v>
      </c>
      <c r="U41" s="3362"/>
      <c r="V41" s="3362">
        <f>I41</f>
        <v>0</v>
      </c>
      <c r="W41" s="3362"/>
      <c r="X41" s="385"/>
      <c r="Y41" s="673"/>
      <c r="Z41" s="385"/>
      <c r="AA41" s="385"/>
      <c r="AB41" s="385"/>
      <c r="AC41" s="385"/>
    </row>
    <row r="42" spans="1:29" ht="15.7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349" t="str">
        <f>A42</f>
        <v>比较价值（元/平方米）</v>
      </c>
      <c r="Q42" s="3349"/>
      <c r="R42" s="3362" t="e">
        <f>IF(F1="售价",ROUND(PRODUCT(R41,AA7:AA40),0),ROUND(PRODUCT(R41,AA7:AA40),1))</f>
        <v>#DIV/0!</v>
      </c>
      <c r="S42" s="3362"/>
      <c r="T42" s="3362" t="e">
        <f>IF(F1="售价",ROUND(PRODUCT(T41,AB7:AB40),0),ROUND(PRODUCT(T41,AB7:AB40),1))</f>
        <v>#DIV/0!</v>
      </c>
      <c r="U42" s="3362"/>
      <c r="V42" s="3362" t="e">
        <f>IF(F1="售价",ROUND(PRODUCT(V41,AC7:AC40),0),ROUND(PRODUCT(V41,AC7:AC40),1))</f>
        <v>#DIV/0!</v>
      </c>
      <c r="W42" s="3362"/>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69" t="str">
        <f>A43</f>
        <v>估价对象XX用房的比较价值（楼面单价，元/平方米）</v>
      </c>
      <c r="Q43" s="3370"/>
      <c r="R43" s="3403" t="e">
        <f>IF(F1="售价",ROUND(IF(D42="简单平均",AVERAGE(R42:V42),R42*F42+T42*H42+V42*J42),0),ROUND(IF(D42="简单平均",AVERAGE(R42:V42),R42*F42+T42*H42+V42*J42),1))</f>
        <v>#DIV/0!</v>
      </c>
      <c r="S43" s="3403"/>
      <c r="T43" s="3403"/>
      <c r="U43" s="3403"/>
      <c r="V43" s="3403"/>
      <c r="W43" s="3403"/>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2024-9</v>
      </c>
      <c r="D52" s="1103">
        <f>EDATE(C52,-1)</f>
        <v>45505</v>
      </c>
      <c r="E52" s="1103">
        <f t="shared" ref="E52:O52" si="16">EDATE(D52,-1)</f>
        <v>45474</v>
      </c>
      <c r="F52" s="1103">
        <f t="shared" si="16"/>
        <v>45444</v>
      </c>
      <c r="G52" s="1103">
        <f t="shared" si="16"/>
        <v>45413</v>
      </c>
      <c r="H52" s="1103">
        <f t="shared" si="16"/>
        <v>45383</v>
      </c>
      <c r="I52" s="1103">
        <f t="shared" si="16"/>
        <v>45352</v>
      </c>
      <c r="J52" s="1103">
        <f t="shared" si="16"/>
        <v>45323</v>
      </c>
      <c r="K52" s="1103">
        <f t="shared" si="16"/>
        <v>45292</v>
      </c>
      <c r="L52" s="1103">
        <f t="shared" si="16"/>
        <v>45261</v>
      </c>
      <c r="M52" s="1103">
        <f t="shared" si="16"/>
        <v>45231</v>
      </c>
      <c r="N52" s="1103">
        <f t="shared" si="16"/>
        <v>45200</v>
      </c>
      <c r="O52" s="1103">
        <f t="shared" si="16"/>
        <v>45170</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C20 G20 E20 I20" xr:uid="{00000000-0002-0000-1F00-000001000000}">
      <formula1>公共配套设施</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4 G24 I24 C24" xr:uid="{00000000-0002-0000-1F00-000003000000}">
      <formula1>环境</formula1>
    </dataValidation>
    <dataValidation type="list" allowBlank="1" showInputMessage="1" showErrorMessage="1" sqref="C8 E8 G8 I8" xr:uid="{00000000-0002-0000-1F00-000004000000}">
      <formula1>工业交易情况</formula1>
    </dataValidation>
    <dataValidation type="list" allowBlank="1" showInputMessage="1" showErrorMessage="1" sqref="E9 G9 I9" xr:uid="{00000000-0002-0000-1F00-000005000000}">
      <formula1>工业用途</formula1>
    </dataValidation>
    <dataValidation type="list" allowBlank="1" showInputMessage="1" showErrorMessage="1" sqref="C29 E29 G29 I29" xr:uid="{00000000-0002-0000-1F00-000006000000}">
      <formula1>工业建筑类型</formula1>
    </dataValidation>
    <dataValidation type="list" allowBlank="1" showInputMessage="1" showErrorMessage="1" sqref="C31 E31 G31 I31" xr:uid="{00000000-0002-0000-1F00-000007000000}">
      <formula1>工业建筑结构</formula1>
    </dataValidation>
    <dataValidation type="list" allowBlank="1" showInputMessage="1" showErrorMessage="1" sqref="C32 E32 G32 I32" xr:uid="{00000000-0002-0000-1F00-000008000000}">
      <formula1>工业公共部分装修</formula1>
    </dataValidation>
    <dataValidation type="list" allowBlank="1" showInputMessage="1" showErrorMessage="1" sqref="C34 E34 G34 I34" xr:uid="{00000000-0002-0000-1F00-000009000000}">
      <formula1>工业物业管理</formula1>
    </dataValidation>
    <dataValidation type="list" allowBlank="1" showInputMessage="1" showErrorMessage="1" sqref="C35 E35 G35 I35" xr:uid="{00000000-0002-0000-1F00-00000A000000}">
      <formula1>工业基础设施水平</formula1>
    </dataValidation>
    <dataValidation type="list" allowBlank="1" showInputMessage="1" showErrorMessage="1" sqref="C36 E36 G36 I36" xr:uid="{00000000-0002-0000-1F00-00000B000000}">
      <formula1>工业内部装修</formula1>
    </dataValidation>
    <dataValidation type="list" allowBlank="1" showInputMessage="1" showErrorMessage="1" sqref="C37 E37 G37 I37" xr:uid="{00000000-0002-0000-1F00-00000C000000}">
      <formula1>内部装修维护情况</formula1>
    </dataValidation>
    <dataValidation type="list" allowBlank="1" showInputMessage="1" showErrorMessage="1" sqref="C16 E16 G16 I16" xr:uid="{00000000-0002-0000-1F00-00000D000000}">
      <formula1>产业集聚程度</formula1>
    </dataValidation>
    <dataValidation type="list" allowBlank="1" showInputMessage="1" showErrorMessage="1" sqref="C22 E22 G22 I22"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42"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H44" sqref="H4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3333</v>
      </c>
      <c r="C1" s="1140" t="s">
        <v>1662</v>
      </c>
      <c r="D1" s="1141"/>
      <c r="E1" s="3130"/>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5">
      <c r="A4" s="345" t="s">
        <v>1769</v>
      </c>
      <c r="B4" s="346"/>
      <c r="C4" s="3350" t="s">
        <v>1770</v>
      </c>
      <c r="D4" s="3351"/>
      <c r="E4" s="3352" t="s">
        <v>1771</v>
      </c>
      <c r="F4" s="3353"/>
      <c r="G4" s="3350" t="s">
        <v>1772</v>
      </c>
      <c r="H4" s="3351"/>
      <c r="I4" s="3350" t="s">
        <v>1773</v>
      </c>
      <c r="J4" s="3351"/>
      <c r="K4" s="537" t="s">
        <v>1774</v>
      </c>
      <c r="L4" s="2485"/>
      <c r="M4" s="2486"/>
      <c r="N4" s="2486"/>
      <c r="O4" s="2486"/>
      <c r="P4" s="3354" t="s">
        <v>1775</v>
      </c>
      <c r="Q4" s="3355"/>
      <c r="R4" s="3337" t="s">
        <v>1771</v>
      </c>
      <c r="S4" s="3338"/>
      <c r="T4" s="3337" t="s">
        <v>1772</v>
      </c>
      <c r="U4" s="3338"/>
      <c r="V4" s="3362" t="s">
        <v>1773</v>
      </c>
      <c r="W4" s="3362"/>
      <c r="X4" s="1264"/>
      <c r="Y4" s="3337" t="s">
        <v>1775</v>
      </c>
      <c r="Z4" s="3338"/>
      <c r="AA4" s="3332" t="s">
        <v>1771</v>
      </c>
      <c r="AB4" s="3333" t="s">
        <v>1772</v>
      </c>
      <c r="AC4" s="3332" t="s">
        <v>1773</v>
      </c>
    </row>
    <row r="5" spans="1:29" ht="15">
      <c r="A5" s="348"/>
      <c r="B5" s="349"/>
      <c r="C5" s="3343" t="s">
        <v>1673</v>
      </c>
      <c r="D5" s="3344"/>
      <c r="E5" s="3341" t="s">
        <v>1674</v>
      </c>
      <c r="F5" s="3342"/>
      <c r="G5" s="3343" t="s">
        <v>1675</v>
      </c>
      <c r="H5" s="3344"/>
      <c r="I5" s="3343" t="s">
        <v>1676</v>
      </c>
      <c r="J5" s="3344"/>
      <c r="K5" s="537"/>
      <c r="L5" s="2485"/>
      <c r="M5" s="2486"/>
      <c r="N5" s="2486"/>
      <c r="O5" s="2486"/>
      <c r="P5" s="3356"/>
      <c r="Q5" s="3357"/>
      <c r="R5" s="3339"/>
      <c r="S5" s="3340"/>
      <c r="T5" s="3339"/>
      <c r="U5" s="3340"/>
      <c r="V5" s="3362"/>
      <c r="W5" s="3362"/>
      <c r="X5" s="1264"/>
      <c r="Y5" s="3339"/>
      <c r="Z5" s="3340"/>
      <c r="AA5" s="3333"/>
      <c r="AB5" s="3333"/>
      <c r="AC5" s="3333"/>
    </row>
    <row r="6" spans="1:29" ht="15.75" thickBot="1">
      <c r="A6" s="350"/>
      <c r="B6" s="351"/>
      <c r="C6" s="3345" t="s">
        <v>1677</v>
      </c>
      <c r="D6" s="3346"/>
      <c r="E6" s="3347" t="s">
        <v>1677</v>
      </c>
      <c r="F6" s="3348"/>
      <c r="G6" s="3345" t="s">
        <v>1677</v>
      </c>
      <c r="H6" s="3346"/>
      <c r="I6" s="3345" t="s">
        <v>1677</v>
      </c>
      <c r="J6" s="3346"/>
      <c r="K6" s="537" t="s">
        <v>1678</v>
      </c>
      <c r="L6" s="2485"/>
      <c r="M6" s="2486"/>
      <c r="N6" s="2486"/>
      <c r="O6" s="2486"/>
      <c r="P6" s="3358"/>
      <c r="Q6" s="3359"/>
      <c r="R6" s="3339"/>
      <c r="S6" s="3340"/>
      <c r="T6" s="3360"/>
      <c r="U6" s="3361"/>
      <c r="V6" s="3362"/>
      <c r="W6" s="3362"/>
      <c r="X6" s="1264"/>
      <c r="Y6" s="3360"/>
      <c r="Z6" s="3361"/>
      <c r="AA6" s="3334"/>
      <c r="AB6" s="3334"/>
      <c r="AC6" s="3334"/>
    </row>
    <row r="7" spans="1:29" s="102" customFormat="1" ht="15.75" thickBot="1">
      <c r="A7" s="352" t="s">
        <v>1679</v>
      </c>
      <c r="B7" s="353"/>
      <c r="C7" s="354">
        <f>'数据-取费表'!B2</f>
        <v>45544</v>
      </c>
      <c r="D7" s="355">
        <v>100</v>
      </c>
      <c r="E7" s="356"/>
      <c r="F7" s="357">
        <f>SUMIF(48:48,YEAR(E7)&amp;"-"&amp;MONTH(E7),49:49)</f>
        <v>0</v>
      </c>
      <c r="G7" s="356"/>
      <c r="H7" s="355">
        <f>SUMIF(48:48,YEAR(G7)&amp;"-"&amp;MONTH(G7),49:49)</f>
        <v>0</v>
      </c>
      <c r="I7" s="356"/>
      <c r="J7" s="355">
        <f>SUMIF(48:48,YEAR(I7)&amp;"-"&amp;MONTH(I7),49:49)</f>
        <v>0</v>
      </c>
      <c r="K7" s="38"/>
      <c r="L7" s="2487"/>
      <c r="M7" s="2439"/>
      <c r="N7" s="2439"/>
      <c r="O7" s="2439"/>
      <c r="P7" s="3335" t="s">
        <v>1680</v>
      </c>
      <c r="Q7" s="3363"/>
      <c r="R7" s="664" t="s">
        <v>14</v>
      </c>
      <c r="S7" s="665">
        <f t="shared" ref="S7:S14" si="0">F7</f>
        <v>0</v>
      </c>
      <c r="T7" s="664" t="s">
        <v>14</v>
      </c>
      <c r="U7" s="665">
        <f t="shared" ref="U7:U14" si="1">H7</f>
        <v>0</v>
      </c>
      <c r="V7" s="664" t="s">
        <v>14</v>
      </c>
      <c r="W7" s="665">
        <f t="shared" ref="W7:W14" si="2">J7</f>
        <v>0</v>
      </c>
      <c r="X7" s="666"/>
      <c r="Y7" s="3335" t="s">
        <v>1680</v>
      </c>
      <c r="Z7" s="3336"/>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35" t="s">
        <v>1683</v>
      </c>
      <c r="Q8" s="3336"/>
      <c r="R8" s="664" t="s">
        <v>14</v>
      </c>
      <c r="S8" s="665">
        <f t="shared" si="0"/>
        <v>100</v>
      </c>
      <c r="T8" s="664" t="s">
        <v>14</v>
      </c>
      <c r="U8" s="665">
        <f t="shared" si="1"/>
        <v>100</v>
      </c>
      <c r="V8" s="664" t="s">
        <v>14</v>
      </c>
      <c r="W8" s="665">
        <f t="shared" si="2"/>
        <v>100</v>
      </c>
      <c r="X8" s="666"/>
      <c r="Y8" s="3335" t="s">
        <v>1683</v>
      </c>
      <c r="Z8" s="3336"/>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49" t="s">
        <v>1686</v>
      </c>
      <c r="Q9" s="530" t="str">
        <f t="shared" ref="Q9:Q14" si="6">B9</f>
        <v>用途</v>
      </c>
      <c r="R9" s="664" t="s">
        <v>14</v>
      </c>
      <c r="S9" s="665">
        <f t="shared" si="0"/>
        <v>100</v>
      </c>
      <c r="T9" s="664" t="s">
        <v>14</v>
      </c>
      <c r="U9" s="665">
        <f t="shared" si="1"/>
        <v>100</v>
      </c>
      <c r="V9" s="664" t="s">
        <v>14</v>
      </c>
      <c r="W9" s="665">
        <f t="shared" si="2"/>
        <v>100</v>
      </c>
      <c r="X9" s="666"/>
      <c r="Y9" s="3308"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49"/>
      <c r="Q10" s="530" t="str">
        <f t="shared" si="6"/>
        <v>土地使用年限（年）</v>
      </c>
      <c r="R10" s="664" t="s">
        <v>14</v>
      </c>
      <c r="S10" s="665">
        <f t="shared" si="0"/>
        <v>100</v>
      </c>
      <c r="T10" s="664" t="s">
        <v>14</v>
      </c>
      <c r="U10" s="665">
        <f t="shared" si="1"/>
        <v>100</v>
      </c>
      <c r="V10" s="664" t="s">
        <v>14</v>
      </c>
      <c r="W10" s="665">
        <f t="shared" si="2"/>
        <v>100</v>
      </c>
      <c r="X10" s="666"/>
      <c r="Y10" s="330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49"/>
      <c r="Q11" s="530">
        <f t="shared" si="6"/>
        <v>111</v>
      </c>
      <c r="R11" s="664" t="s">
        <v>14</v>
      </c>
      <c r="S11" s="665">
        <f t="shared" si="0"/>
        <v>100</v>
      </c>
      <c r="T11" s="664" t="s">
        <v>14</v>
      </c>
      <c r="U11" s="665">
        <f t="shared" si="1"/>
        <v>100</v>
      </c>
      <c r="V11" s="664" t="s">
        <v>14</v>
      </c>
      <c r="W11" s="665">
        <f t="shared" si="2"/>
        <v>100</v>
      </c>
      <c r="X11" s="666"/>
      <c r="Y11" s="330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49"/>
      <c r="Q12" s="530">
        <f t="shared" si="6"/>
        <v>111</v>
      </c>
      <c r="R12" s="664" t="s">
        <v>14</v>
      </c>
      <c r="S12" s="665">
        <f t="shared" si="0"/>
        <v>100</v>
      </c>
      <c r="T12" s="664" t="s">
        <v>14</v>
      </c>
      <c r="U12" s="665">
        <f t="shared" si="1"/>
        <v>100</v>
      </c>
      <c r="V12" s="664" t="s">
        <v>14</v>
      </c>
      <c r="W12" s="665">
        <f t="shared" si="2"/>
        <v>100</v>
      </c>
      <c r="X12" s="666"/>
      <c r="Y12" s="3308"/>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49"/>
      <c r="Q13" s="530">
        <f t="shared" si="6"/>
        <v>111</v>
      </c>
      <c r="R13" s="664" t="s">
        <v>14</v>
      </c>
      <c r="S13" s="665">
        <f t="shared" si="0"/>
        <v>100</v>
      </c>
      <c r="T13" s="664" t="s">
        <v>14</v>
      </c>
      <c r="U13" s="665">
        <f t="shared" si="1"/>
        <v>100</v>
      </c>
      <c r="V13" s="664" t="s">
        <v>14</v>
      </c>
      <c r="W13" s="665">
        <f t="shared" si="2"/>
        <v>100</v>
      </c>
      <c r="X13" s="666"/>
      <c r="Y13" s="3308"/>
      <c r="Z13" s="50">
        <f t="shared" si="7"/>
        <v>111</v>
      </c>
      <c r="AA13" s="50">
        <f t="shared" si="3"/>
        <v>1</v>
      </c>
      <c r="AB13" s="50">
        <f t="shared" si="4"/>
        <v>1</v>
      </c>
      <c r="AC13" s="50">
        <f t="shared" si="5"/>
        <v>1</v>
      </c>
    </row>
    <row r="14" spans="1:29" ht="85.5">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64" t="s">
        <v>1691</v>
      </c>
      <c r="Q14" s="1262" t="str">
        <f t="shared" si="6"/>
        <v>交通便捷度</v>
      </c>
      <c r="R14" s="667" t="s">
        <v>14</v>
      </c>
      <c r="S14" s="668">
        <f t="shared" si="0"/>
        <v>100</v>
      </c>
      <c r="T14" s="667" t="s">
        <v>14</v>
      </c>
      <c r="U14" s="668">
        <f t="shared" si="1"/>
        <v>100</v>
      </c>
      <c r="V14" s="667" t="s">
        <v>14</v>
      </c>
      <c r="W14" s="668">
        <f t="shared" si="2"/>
        <v>100</v>
      </c>
      <c r="X14" s="1264"/>
      <c r="Y14" s="3364"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1"/>
      <c r="M15" s="2486"/>
      <c r="N15" s="2486"/>
      <c r="O15" s="2486"/>
      <c r="P15" s="3365"/>
      <c r="Q15" s="1262"/>
      <c r="R15" s="667"/>
      <c r="S15" s="668"/>
      <c r="T15" s="667"/>
      <c r="U15" s="668"/>
      <c r="V15" s="667"/>
      <c r="W15" s="668"/>
      <c r="X15" s="1264"/>
      <c r="Y15" s="3365"/>
      <c r="Z15" s="1263"/>
      <c r="AA15" s="1263">
        <v>1</v>
      </c>
      <c r="AB15" s="1263">
        <v>1</v>
      </c>
      <c r="AC15" s="1263">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65"/>
      <c r="Q16" s="1262" t="str">
        <f>B16</f>
        <v>公共配套设施</v>
      </c>
      <c r="R16" s="667" t="s">
        <v>14</v>
      </c>
      <c r="S16" s="668">
        <f>F16</f>
        <v>100</v>
      </c>
      <c r="T16" s="667" t="s">
        <v>14</v>
      </c>
      <c r="U16" s="668">
        <f>H16</f>
        <v>100</v>
      </c>
      <c r="V16" s="667" t="s">
        <v>14</v>
      </c>
      <c r="W16" s="668">
        <f>J16</f>
        <v>100</v>
      </c>
      <c r="X16" s="1264"/>
      <c r="Y16" s="3365"/>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1"/>
      <c r="M17" s="2486"/>
      <c r="N17" s="2486"/>
      <c r="O17" s="2486"/>
      <c r="P17" s="3365"/>
      <c r="Q17" s="1262"/>
      <c r="R17" s="667"/>
      <c r="S17" s="668"/>
      <c r="T17" s="667"/>
      <c r="U17" s="668"/>
      <c r="V17" s="667"/>
      <c r="W17" s="668"/>
      <c r="X17" s="1264"/>
      <c r="Y17" s="3365"/>
      <c r="Z17" s="1263"/>
      <c r="AA17" s="1263">
        <v>1</v>
      </c>
      <c r="AB17" s="1263">
        <v>1</v>
      </c>
      <c r="AC17" s="1263">
        <v>1</v>
      </c>
    </row>
    <row r="18" spans="1:29" ht="42.7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65"/>
      <c r="Q18" s="1262" t="str">
        <f>B18</f>
        <v>基础设施水平</v>
      </c>
      <c r="R18" s="667" t="s">
        <v>14</v>
      </c>
      <c r="S18" s="668">
        <f>F18</f>
        <v>100</v>
      </c>
      <c r="T18" s="667" t="s">
        <v>14</v>
      </c>
      <c r="U18" s="668">
        <f>H18</f>
        <v>100</v>
      </c>
      <c r="V18" s="667" t="s">
        <v>14</v>
      </c>
      <c r="W18" s="668">
        <f>J18</f>
        <v>100</v>
      </c>
      <c r="X18" s="1264"/>
      <c r="Y18" s="3365"/>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91"/>
      <c r="M19" s="2486"/>
      <c r="N19" s="2486"/>
      <c r="O19" s="2486"/>
      <c r="P19" s="3365"/>
      <c r="Q19" s="1262"/>
      <c r="R19" s="667"/>
      <c r="S19" s="668"/>
      <c r="T19" s="667"/>
      <c r="U19" s="668"/>
      <c r="V19" s="667"/>
      <c r="W19" s="668"/>
      <c r="X19" s="1264"/>
      <c r="Y19" s="3365"/>
      <c r="Z19" s="1263"/>
      <c r="AA19" s="1263">
        <v>1</v>
      </c>
      <c r="AB19" s="1263">
        <v>1</v>
      </c>
      <c r="AC19" s="1263">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65"/>
      <c r="Q20" s="1262" t="str">
        <f>B20</f>
        <v>自然及人文环境</v>
      </c>
      <c r="R20" s="667" t="s">
        <v>14</v>
      </c>
      <c r="S20" s="668">
        <f>F20</f>
        <v>100</v>
      </c>
      <c r="T20" s="667" t="s">
        <v>14</v>
      </c>
      <c r="U20" s="668">
        <f>H20</f>
        <v>100</v>
      </c>
      <c r="V20" s="667" t="s">
        <v>14</v>
      </c>
      <c r="W20" s="668">
        <f>J20</f>
        <v>100</v>
      </c>
      <c r="X20" s="1264"/>
      <c r="Y20" s="3365"/>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1"/>
      <c r="M21" s="2486"/>
      <c r="N21" s="2486"/>
      <c r="O21" s="2486"/>
      <c r="P21" s="3365"/>
      <c r="Q21" s="1262"/>
      <c r="R21" s="667"/>
      <c r="S21" s="668"/>
      <c r="T21" s="667"/>
      <c r="U21" s="668"/>
      <c r="V21" s="667"/>
      <c r="W21" s="668"/>
      <c r="X21" s="1264"/>
      <c r="Y21" s="3365"/>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65"/>
      <c r="Q22" s="1262" t="str">
        <f>B22</f>
        <v>楼层</v>
      </c>
      <c r="R22" s="667" t="s">
        <v>14</v>
      </c>
      <c r="S22" s="668">
        <f>F22</f>
        <v>100</v>
      </c>
      <c r="T22" s="667" t="s">
        <v>14</v>
      </c>
      <c r="U22" s="668">
        <f>H22</f>
        <v>100</v>
      </c>
      <c r="V22" s="667" t="s">
        <v>14</v>
      </c>
      <c r="W22" s="668">
        <f>J22</f>
        <v>100</v>
      </c>
      <c r="X22" s="1264"/>
      <c r="Y22" s="3365"/>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65"/>
      <c r="Q23" s="1262">
        <f>B23</f>
        <v>111</v>
      </c>
      <c r="R23" s="667" t="s">
        <v>14</v>
      </c>
      <c r="S23" s="668">
        <f>F23</f>
        <v>100</v>
      </c>
      <c r="T23" s="667" t="s">
        <v>14</v>
      </c>
      <c r="U23" s="668">
        <f>H23</f>
        <v>100</v>
      </c>
      <c r="V23" s="667" t="s">
        <v>14</v>
      </c>
      <c r="W23" s="668">
        <f>J23</f>
        <v>100</v>
      </c>
      <c r="X23" s="1264"/>
      <c r="Y23" s="3365"/>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65"/>
      <c r="Q24" s="1262">
        <f t="shared" ref="Q24:Q36" si="11">B24</f>
        <v>111</v>
      </c>
      <c r="R24" s="667" t="s">
        <v>14</v>
      </c>
      <c r="S24" s="668">
        <f>F24</f>
        <v>100</v>
      </c>
      <c r="T24" s="667" t="s">
        <v>14</v>
      </c>
      <c r="U24" s="668">
        <f>H24</f>
        <v>100</v>
      </c>
      <c r="V24" s="667" t="s">
        <v>14</v>
      </c>
      <c r="W24" s="668">
        <f>J24</f>
        <v>100</v>
      </c>
      <c r="X24" s="1264"/>
      <c r="Y24" s="3365"/>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65"/>
      <c r="Q25" s="530">
        <f t="shared" si="11"/>
        <v>111</v>
      </c>
      <c r="R25" s="664" t="s">
        <v>14</v>
      </c>
      <c r="S25" s="665">
        <f>F25</f>
        <v>100</v>
      </c>
      <c r="T25" s="664" t="s">
        <v>14</v>
      </c>
      <c r="U25" s="665">
        <f>H25</f>
        <v>100</v>
      </c>
      <c r="V25" s="664" t="s">
        <v>14</v>
      </c>
      <c r="W25" s="665">
        <f>J25</f>
        <v>100</v>
      </c>
      <c r="X25" s="666"/>
      <c r="Y25" s="3365"/>
      <c r="Z25" s="50">
        <f>Q25</f>
        <v>111</v>
      </c>
      <c r="AA25" s="1263">
        <f>D25/F25</f>
        <v>1</v>
      </c>
      <c r="AB25" s="1263">
        <f>D25/H25</f>
        <v>1</v>
      </c>
      <c r="AC25" s="1263">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366"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367"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67"/>
      <c r="Q27" s="531" t="str">
        <f t="shared" si="11"/>
        <v>项目停车位配比</v>
      </c>
      <c r="R27" s="669" t="s">
        <v>14</v>
      </c>
      <c r="S27" s="670">
        <f t="shared" si="12"/>
        <v>100</v>
      </c>
      <c r="T27" s="669" t="s">
        <v>14</v>
      </c>
      <c r="U27" s="670">
        <f t="shared" si="13"/>
        <v>100</v>
      </c>
      <c r="V27" s="669" t="s">
        <v>14</v>
      </c>
      <c r="W27" s="670">
        <f t="shared" si="14"/>
        <v>100</v>
      </c>
      <c r="X27" s="671"/>
      <c r="Y27" s="3367"/>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67"/>
      <c r="Q28" s="1262" t="str">
        <f t="shared" si="11"/>
        <v>公共部分装修</v>
      </c>
      <c r="R28" s="667" t="s">
        <v>14</v>
      </c>
      <c r="S28" s="668">
        <f t="shared" si="12"/>
        <v>100</v>
      </c>
      <c r="T28" s="667" t="s">
        <v>14</v>
      </c>
      <c r="U28" s="668">
        <f t="shared" si="13"/>
        <v>100</v>
      </c>
      <c r="V28" s="667" t="s">
        <v>14</v>
      </c>
      <c r="W28" s="668">
        <f t="shared" si="14"/>
        <v>100</v>
      </c>
      <c r="X28" s="1264"/>
      <c r="Y28" s="3367"/>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67"/>
      <c r="Q29" s="1262" t="str">
        <f t="shared" si="11"/>
        <v>成新率</v>
      </c>
      <c r="R29" s="667" t="s">
        <v>14</v>
      </c>
      <c r="S29" s="668" t="e">
        <f t="shared" si="12"/>
        <v>#N/A</v>
      </c>
      <c r="T29" s="667" t="s">
        <v>14</v>
      </c>
      <c r="U29" s="668" t="e">
        <f t="shared" si="13"/>
        <v>#N/A</v>
      </c>
      <c r="V29" s="667" t="s">
        <v>14</v>
      </c>
      <c r="W29" s="668" t="e">
        <f t="shared" si="14"/>
        <v>#N/A</v>
      </c>
      <c r="X29" s="1264"/>
      <c r="Y29" s="3367"/>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67"/>
      <c r="Q30" s="1262" t="str">
        <f t="shared" si="11"/>
        <v>物业等级</v>
      </c>
      <c r="R30" s="667" t="s">
        <v>14</v>
      </c>
      <c r="S30" s="668">
        <f t="shared" si="12"/>
        <v>100</v>
      </c>
      <c r="T30" s="667" t="s">
        <v>14</v>
      </c>
      <c r="U30" s="668">
        <f t="shared" si="13"/>
        <v>100</v>
      </c>
      <c r="V30" s="667" t="s">
        <v>14</v>
      </c>
      <c r="W30" s="668">
        <f t="shared" si="14"/>
        <v>100</v>
      </c>
      <c r="X30" s="1264"/>
      <c r="Y30" s="3367"/>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67"/>
      <c r="Q31" s="530" t="str">
        <f t="shared" si="11"/>
        <v>停车位面积</v>
      </c>
      <c r="R31" s="664" t="s">
        <v>14</v>
      </c>
      <c r="S31" s="665" t="e">
        <f t="shared" si="12"/>
        <v>#N/A</v>
      </c>
      <c r="T31" s="664" t="s">
        <v>14</v>
      </c>
      <c r="U31" s="665" t="e">
        <f t="shared" si="13"/>
        <v>#N/A</v>
      </c>
      <c r="V31" s="664" t="s">
        <v>14</v>
      </c>
      <c r="W31" s="665" t="e">
        <f t="shared" si="14"/>
        <v>#N/A</v>
      </c>
      <c r="X31" s="666"/>
      <c r="Y31" s="336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67" t="s">
        <v>1696</v>
      </c>
      <c r="Q32" s="1262" t="str">
        <f t="shared" si="11"/>
        <v>车位类型</v>
      </c>
      <c r="R32" s="667" t="s">
        <v>14</v>
      </c>
      <c r="S32" s="668">
        <f t="shared" si="12"/>
        <v>100</v>
      </c>
      <c r="T32" s="667" t="s">
        <v>14</v>
      </c>
      <c r="U32" s="668">
        <f t="shared" si="13"/>
        <v>100</v>
      </c>
      <c r="V32" s="667" t="s">
        <v>14</v>
      </c>
      <c r="W32" s="668">
        <f t="shared" si="14"/>
        <v>100</v>
      </c>
      <c r="X32" s="1264"/>
      <c r="Y32" s="3367"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67"/>
      <c r="Q33" s="1262" t="str">
        <f t="shared" si="11"/>
        <v>是否直接入户</v>
      </c>
      <c r="R33" s="667" t="s">
        <v>14</v>
      </c>
      <c r="S33" s="668">
        <f t="shared" si="12"/>
        <v>100</v>
      </c>
      <c r="T33" s="667" t="s">
        <v>14</v>
      </c>
      <c r="U33" s="668">
        <f t="shared" si="13"/>
        <v>100</v>
      </c>
      <c r="V33" s="667" t="s">
        <v>14</v>
      </c>
      <c r="W33" s="668">
        <f t="shared" si="14"/>
        <v>100</v>
      </c>
      <c r="X33" s="1264"/>
      <c r="Y33" s="3367"/>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67"/>
      <c r="Q34" s="1262">
        <f t="shared" si="11"/>
        <v>111</v>
      </c>
      <c r="R34" s="667" t="s">
        <v>14</v>
      </c>
      <c r="S34" s="668">
        <f t="shared" si="12"/>
        <v>100</v>
      </c>
      <c r="T34" s="667" t="s">
        <v>14</v>
      </c>
      <c r="U34" s="668">
        <f t="shared" si="13"/>
        <v>100</v>
      </c>
      <c r="V34" s="667" t="s">
        <v>14</v>
      </c>
      <c r="W34" s="668">
        <f t="shared" si="14"/>
        <v>100</v>
      </c>
      <c r="X34" s="1264"/>
      <c r="Y34" s="3367"/>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67"/>
      <c r="Q35" s="531">
        <f t="shared" si="11"/>
        <v>111</v>
      </c>
      <c r="R35" s="669" t="s">
        <v>14</v>
      </c>
      <c r="S35" s="670">
        <f t="shared" si="12"/>
        <v>100</v>
      </c>
      <c r="T35" s="669" t="s">
        <v>14</v>
      </c>
      <c r="U35" s="670">
        <f t="shared" si="13"/>
        <v>100</v>
      </c>
      <c r="V35" s="669" t="s">
        <v>14</v>
      </c>
      <c r="W35" s="670">
        <f t="shared" si="14"/>
        <v>100</v>
      </c>
      <c r="X35" s="671"/>
      <c r="Y35" s="3367"/>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67"/>
      <c r="Q36" s="1262">
        <f t="shared" si="11"/>
        <v>111</v>
      </c>
      <c r="R36" s="667" t="s">
        <v>14</v>
      </c>
      <c r="S36" s="668">
        <f t="shared" si="12"/>
        <v>100</v>
      </c>
      <c r="T36" s="667" t="s">
        <v>14</v>
      </c>
      <c r="U36" s="668">
        <f t="shared" si="13"/>
        <v>100</v>
      </c>
      <c r="V36" s="667" t="s">
        <v>14</v>
      </c>
      <c r="W36" s="668">
        <f t="shared" si="14"/>
        <v>100</v>
      </c>
      <c r="X36" s="1264"/>
      <c r="Y36" s="3367"/>
      <c r="Z36" s="1263">
        <f t="shared" si="15"/>
        <v>111</v>
      </c>
      <c r="AA36" s="1263">
        <f t="shared" si="3"/>
        <v>1</v>
      </c>
      <c r="AB36" s="1263">
        <f t="shared" si="4"/>
        <v>1</v>
      </c>
      <c r="AC36" s="1263">
        <f t="shared" si="5"/>
        <v>1</v>
      </c>
    </row>
    <row r="37" spans="1:29" ht="15">
      <c r="A37" s="416" t="s">
        <v>1844</v>
      </c>
      <c r="B37" s="1820" t="s">
        <v>3354</v>
      </c>
      <c r="C37" s="1081" t="s">
        <v>0</v>
      </c>
      <c r="D37" s="418"/>
      <c r="E37" s="419"/>
      <c r="F37" s="420"/>
      <c r="G37" s="421"/>
      <c r="H37" s="422"/>
      <c r="I37" s="419"/>
      <c r="J37" s="422"/>
      <c r="K37" s="545"/>
      <c r="L37" s="2493"/>
      <c r="M37" s="2486"/>
      <c r="N37" s="2486"/>
      <c r="O37" s="2486"/>
      <c r="P37" s="3349" t="str">
        <f>A37</f>
        <v>成交单价</v>
      </c>
      <c r="Q37" s="3349"/>
      <c r="R37" s="3362">
        <f>E37</f>
        <v>0</v>
      </c>
      <c r="S37" s="3362"/>
      <c r="T37" s="3362">
        <f>G37</f>
        <v>0</v>
      </c>
      <c r="U37" s="3362"/>
      <c r="V37" s="3362">
        <f>I37</f>
        <v>0</v>
      </c>
      <c r="W37" s="3362"/>
      <c r="X37" s="385"/>
      <c r="Y37" s="673"/>
      <c r="Z37" s="385"/>
      <c r="AA37" s="385"/>
      <c r="AB37" s="385"/>
      <c r="AC37" s="385"/>
    </row>
    <row r="38" spans="1:29" ht="15.7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3"/>
      <c r="M38" s="2486"/>
      <c r="N38" s="2486"/>
      <c r="O38" s="2486"/>
      <c r="P38" s="3349" t="str">
        <f>A38</f>
        <v>比较价值（元/平方米）</v>
      </c>
      <c r="Q38" s="3349"/>
      <c r="R38" s="3362" t="e">
        <f>IF(F1="售价",ROUND(PRODUCT(R37,AA7:AA36),0),ROUND(PRODUCT(R37,AA7:AA36),1))</f>
        <v>#DIV/0!</v>
      </c>
      <c r="S38" s="3362"/>
      <c r="T38" s="3362" t="e">
        <f>IF(F1="售价",ROUND(PRODUCT(T37,AB7:AB36),0),ROUND(PRODUCT(T37,AB7:AB36),1))</f>
        <v>#DIV/0!</v>
      </c>
      <c r="U38" s="3362"/>
      <c r="V38" s="3362" t="e">
        <f>IF(F1="售价",ROUND(PRODUCT(V37,AC7:AC36),0),ROUND(PRODUCT(V37,AC7:AC36),1))</f>
        <v>#DIV/0!</v>
      </c>
      <c r="W38" s="3362"/>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369" t="str">
        <f>A39</f>
        <v>估价对象XX用房的比较价值（楼面单价，元/平方米）</v>
      </c>
      <c r="Q39" s="3370"/>
      <c r="R39" s="3425" t="e">
        <f>IF(F1="售价",ROUND(IF(D38="简单平均",AVERAGE(R38:W38),R38*F38+T38*H38+V38*J38),0),ROUND(IF(D38="简单平均",AVERAGE(R38:V38),R38*F38+T38*H38+V38*J38),1))</f>
        <v>#DIV/0!</v>
      </c>
      <c r="S39" s="3425"/>
      <c r="T39" s="3425"/>
      <c r="U39" s="3425"/>
      <c r="V39" s="3425"/>
      <c r="W39" s="3425"/>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2" t="str">
        <f>YEAR(C7)&amp;"-"&amp;MONTH(C7)</f>
        <v>2024-9</v>
      </c>
      <c r="D48" s="1103">
        <f>EDATE(C48,-1)</f>
        <v>45505</v>
      </c>
      <c r="E48" s="1103">
        <f t="shared" ref="E48:O48" si="16">EDATE(D48,-1)</f>
        <v>45474</v>
      </c>
      <c r="F48" s="1103">
        <f t="shared" si="16"/>
        <v>45444</v>
      </c>
      <c r="G48" s="1103">
        <f t="shared" si="16"/>
        <v>45413</v>
      </c>
      <c r="H48" s="1103">
        <f t="shared" si="16"/>
        <v>45383</v>
      </c>
      <c r="I48" s="1103">
        <f t="shared" si="16"/>
        <v>45352</v>
      </c>
      <c r="J48" s="1103">
        <f t="shared" si="16"/>
        <v>45323</v>
      </c>
      <c r="K48" s="1103">
        <f t="shared" si="16"/>
        <v>45292</v>
      </c>
      <c r="L48" s="1103">
        <f t="shared" si="16"/>
        <v>45261</v>
      </c>
      <c r="M48" s="1103">
        <f t="shared" si="16"/>
        <v>45231</v>
      </c>
      <c r="N48" s="1103">
        <f t="shared" si="16"/>
        <v>45200</v>
      </c>
      <c r="O48" s="1103">
        <f t="shared" si="16"/>
        <v>45170</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G15 E15 C15 I15" xr:uid="{00000000-0002-0000-2000-000002000000}">
      <formula1>交通便捷度</formula1>
    </dataValidation>
    <dataValidation type="list" allowBlank="1" showInputMessage="1" showErrorMessage="1" sqref="C8 E8 G8 I8" xr:uid="{00000000-0002-0000-2000-000003000000}">
      <formula1>车位交易情况</formula1>
    </dataValidation>
    <dataValidation type="list" allowBlank="1" showInputMessage="1" showErrorMessage="1" sqref="E9 G9 I9" xr:uid="{00000000-0002-0000-2000-000004000000}">
      <formula1>车位用途</formula1>
    </dataValidation>
    <dataValidation type="list" allowBlank="1" showInputMessage="1" showErrorMessage="1" sqref="C22 E22 G22 I22" xr:uid="{00000000-0002-0000-2000-000005000000}">
      <formula1>车位楼层</formula1>
    </dataValidation>
    <dataValidation type="list" allowBlank="1" showInputMessage="1" showErrorMessage="1" sqref="C30 E30 G30 I30" xr:uid="{00000000-0002-0000-2000-000006000000}">
      <formula1>车位物业等级</formula1>
    </dataValidation>
    <dataValidation type="list" allowBlank="1" showInputMessage="1" showErrorMessage="1" sqref="C32 E32 G32 I32" xr:uid="{00000000-0002-0000-2000-000007000000}">
      <formula1>车位类型</formula1>
    </dataValidation>
    <dataValidation type="list" allowBlank="1" showInputMessage="1" showErrorMessage="1" sqref="C33 E33 G33 I33" xr:uid="{00000000-0002-0000-2000-000008000000}">
      <formula1>是否直接入户</formula1>
    </dataValidation>
    <dataValidation type="list" allowBlank="1" showInputMessage="1" showErrorMessage="1" sqref="B1" xr:uid="{00000000-0002-0000-2000-000009000000}">
      <formula1>地类判定</formula1>
    </dataValidation>
    <dataValidation type="list" allowBlank="1" showInputMessage="1" showErrorMessage="1" sqref="I26 E26 G26" xr:uid="{00000000-0002-0000-2000-00000A000000}">
      <formula1>车位配套类型</formula1>
    </dataValidation>
    <dataValidation type="list" allowBlank="1" showInputMessage="1" showErrorMessage="1" sqref="C28 E28 G28 I28" xr:uid="{00000000-0002-0000-2000-00000B000000}">
      <formula1>车位公共部分装修</formula1>
    </dataValidation>
    <dataValidation type="list" allowBlank="1" showInputMessage="1" showErrorMessage="1" sqref="B37" xr:uid="{00000000-0002-0000-2000-00000C000000}">
      <formula1>"元/平方米,元/车位"</formula1>
    </dataValidation>
    <dataValidation type="list" allowBlank="1" showInputMessage="1" showErrorMessage="1" sqref="C21 E21 G21 I21" xr:uid="{00000000-0002-0000-2000-00000D000000}">
      <formula1>环境</formula1>
    </dataValidation>
    <dataValidation type="list" allowBlank="1" showInputMessage="1" showErrorMessage="1" sqref="C19 E19 G19 I19"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38"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H44" sqref="H4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3334</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50" t="s">
        <v>1770</v>
      </c>
      <c r="D4" s="3351"/>
      <c r="E4" s="3352" t="s">
        <v>1771</v>
      </c>
      <c r="F4" s="3353"/>
      <c r="G4" s="3350" t="s">
        <v>1772</v>
      </c>
      <c r="H4" s="3351"/>
      <c r="I4" s="3350" t="s">
        <v>1773</v>
      </c>
      <c r="J4" s="3351"/>
      <c r="K4" s="537" t="s">
        <v>1774</v>
      </c>
      <c r="L4" s="2485"/>
      <c r="M4" s="2486"/>
      <c r="N4" s="2486"/>
      <c r="O4" s="2486"/>
      <c r="P4" s="3354" t="s">
        <v>1775</v>
      </c>
      <c r="Q4" s="3355"/>
      <c r="R4" s="3337" t="s">
        <v>1771</v>
      </c>
      <c r="S4" s="3338"/>
      <c r="T4" s="3337" t="s">
        <v>1772</v>
      </c>
      <c r="U4" s="3338"/>
      <c r="V4" s="3362" t="s">
        <v>1773</v>
      </c>
      <c r="W4" s="3362"/>
      <c r="X4" s="1264"/>
      <c r="Y4" s="3337" t="s">
        <v>1775</v>
      </c>
      <c r="Z4" s="3338"/>
      <c r="AA4" s="3332" t="s">
        <v>1771</v>
      </c>
      <c r="AB4" s="3333" t="s">
        <v>1772</v>
      </c>
      <c r="AC4" s="3332" t="s">
        <v>1773</v>
      </c>
    </row>
    <row r="5" spans="1:29" ht="15">
      <c r="A5" s="348"/>
      <c r="B5" s="349"/>
      <c r="C5" s="3343" t="s">
        <v>1673</v>
      </c>
      <c r="D5" s="3344"/>
      <c r="E5" s="3341" t="s">
        <v>1674</v>
      </c>
      <c r="F5" s="3342"/>
      <c r="G5" s="3343" t="s">
        <v>1675</v>
      </c>
      <c r="H5" s="3344"/>
      <c r="I5" s="3343" t="s">
        <v>1676</v>
      </c>
      <c r="J5" s="3344"/>
      <c r="K5" s="537"/>
      <c r="L5" s="2485"/>
      <c r="M5" s="2486"/>
      <c r="N5" s="2486"/>
      <c r="O5" s="2486"/>
      <c r="P5" s="3356"/>
      <c r="Q5" s="3357"/>
      <c r="R5" s="3339"/>
      <c r="S5" s="3340"/>
      <c r="T5" s="3339"/>
      <c r="U5" s="3340"/>
      <c r="V5" s="3362"/>
      <c r="W5" s="3362"/>
      <c r="X5" s="1264"/>
      <c r="Y5" s="3339"/>
      <c r="Z5" s="3340"/>
      <c r="AA5" s="3333"/>
      <c r="AB5" s="3333"/>
      <c r="AC5" s="3333"/>
    </row>
    <row r="6" spans="1:29" ht="15.75" thickBot="1">
      <c r="A6" s="350"/>
      <c r="B6" s="351"/>
      <c r="C6" s="3345" t="s">
        <v>1677</v>
      </c>
      <c r="D6" s="3346"/>
      <c r="E6" s="3347" t="s">
        <v>1677</v>
      </c>
      <c r="F6" s="3348"/>
      <c r="G6" s="3345" t="s">
        <v>1677</v>
      </c>
      <c r="H6" s="3346"/>
      <c r="I6" s="3345" t="s">
        <v>1677</v>
      </c>
      <c r="J6" s="3346"/>
      <c r="K6" s="537" t="s">
        <v>1678</v>
      </c>
      <c r="L6" s="2485"/>
      <c r="M6" s="2486"/>
      <c r="N6" s="2486"/>
      <c r="O6" s="2486"/>
      <c r="P6" s="3358"/>
      <c r="Q6" s="3359"/>
      <c r="R6" s="3339"/>
      <c r="S6" s="3340"/>
      <c r="T6" s="3360"/>
      <c r="U6" s="3361"/>
      <c r="V6" s="3362"/>
      <c r="W6" s="3362"/>
      <c r="X6" s="1264"/>
      <c r="Y6" s="3360"/>
      <c r="Z6" s="3361"/>
      <c r="AA6" s="3334"/>
      <c r="AB6" s="3334"/>
      <c r="AC6" s="3334"/>
    </row>
    <row r="7" spans="1:29" s="102" customFormat="1" ht="15.75" thickBot="1">
      <c r="A7" s="352" t="s">
        <v>1679</v>
      </c>
      <c r="B7" s="353"/>
      <c r="C7" s="354">
        <f>'数据-取费表'!B2</f>
        <v>45544</v>
      </c>
      <c r="D7" s="355">
        <v>100</v>
      </c>
      <c r="E7" s="356"/>
      <c r="F7" s="357">
        <f>SUMIF(46:46,YEAR(E7)&amp;"-"&amp;MONTH(E7),47:47)</f>
        <v>0</v>
      </c>
      <c r="G7" s="1821"/>
      <c r="H7" s="355">
        <f>SUMIF(46:46,YEAR(G7)&amp;"-"&amp;MONTH(G7),47:47)</f>
        <v>0</v>
      </c>
      <c r="I7" s="356"/>
      <c r="J7" s="355">
        <f>SUMIF(46:46,YEAR(I7)&amp;"-"&amp;MONTH(I7),47:47)</f>
        <v>0</v>
      </c>
      <c r="K7" s="38"/>
      <c r="L7" s="2487"/>
      <c r="M7" s="2439"/>
      <c r="N7" s="2439"/>
      <c r="O7" s="2439"/>
      <c r="P7" s="3335" t="s">
        <v>1680</v>
      </c>
      <c r="Q7" s="3363"/>
      <c r="R7" s="664" t="s">
        <v>14</v>
      </c>
      <c r="S7" s="665">
        <f t="shared" ref="S7:S14" si="0">F7</f>
        <v>0</v>
      </c>
      <c r="T7" s="664" t="s">
        <v>14</v>
      </c>
      <c r="U7" s="665">
        <f t="shared" ref="U7:U14" si="1">H7</f>
        <v>0</v>
      </c>
      <c r="V7" s="664" t="s">
        <v>14</v>
      </c>
      <c r="W7" s="665">
        <f t="shared" ref="W7:W14" si="2">J7</f>
        <v>0</v>
      </c>
      <c r="X7" s="666"/>
      <c r="Y7" s="3335" t="s">
        <v>1680</v>
      </c>
      <c r="Z7" s="3336"/>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35" t="s">
        <v>1683</v>
      </c>
      <c r="Q8" s="3336"/>
      <c r="R8" s="664" t="s">
        <v>14</v>
      </c>
      <c r="S8" s="665">
        <f t="shared" si="0"/>
        <v>100</v>
      </c>
      <c r="T8" s="664" t="s">
        <v>14</v>
      </c>
      <c r="U8" s="665">
        <f t="shared" si="1"/>
        <v>100</v>
      </c>
      <c r="V8" s="664" t="s">
        <v>14</v>
      </c>
      <c r="W8" s="665">
        <f t="shared" si="2"/>
        <v>100</v>
      </c>
      <c r="X8" s="666"/>
      <c r="Y8" s="3335" t="s">
        <v>1683</v>
      </c>
      <c r="Z8" s="3336"/>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49" t="s">
        <v>1686</v>
      </c>
      <c r="Q9" s="530" t="str">
        <f t="shared" ref="Q9:Q14" si="6">B9</f>
        <v>用途</v>
      </c>
      <c r="R9" s="664" t="s">
        <v>14</v>
      </c>
      <c r="S9" s="665">
        <f t="shared" si="0"/>
        <v>100</v>
      </c>
      <c r="T9" s="664" t="s">
        <v>14</v>
      </c>
      <c r="U9" s="665">
        <f t="shared" si="1"/>
        <v>100</v>
      </c>
      <c r="V9" s="664" t="s">
        <v>14</v>
      </c>
      <c r="W9" s="665">
        <f t="shared" si="2"/>
        <v>100</v>
      </c>
      <c r="X9" s="666"/>
      <c r="Y9" s="3308"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49"/>
      <c r="Q10" s="530" t="str">
        <f t="shared" si="6"/>
        <v>土地使用年限（年）</v>
      </c>
      <c r="R10" s="664" t="s">
        <v>14</v>
      </c>
      <c r="S10" s="665">
        <f t="shared" si="0"/>
        <v>100</v>
      </c>
      <c r="T10" s="664" t="s">
        <v>14</v>
      </c>
      <c r="U10" s="665">
        <f t="shared" si="1"/>
        <v>100</v>
      </c>
      <c r="V10" s="664" t="s">
        <v>14</v>
      </c>
      <c r="W10" s="665">
        <f t="shared" si="2"/>
        <v>100</v>
      </c>
      <c r="X10" s="666"/>
      <c r="Y10" s="330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49"/>
      <c r="Q11" s="530">
        <f t="shared" si="6"/>
        <v>111</v>
      </c>
      <c r="R11" s="664" t="s">
        <v>14</v>
      </c>
      <c r="S11" s="665">
        <f t="shared" si="0"/>
        <v>100</v>
      </c>
      <c r="T11" s="664" t="s">
        <v>14</v>
      </c>
      <c r="U11" s="665">
        <f t="shared" si="1"/>
        <v>100</v>
      </c>
      <c r="V11" s="664" t="s">
        <v>14</v>
      </c>
      <c r="W11" s="665">
        <f t="shared" si="2"/>
        <v>100</v>
      </c>
      <c r="X11" s="666"/>
      <c r="Y11" s="330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49"/>
      <c r="Q12" s="530">
        <f t="shared" si="6"/>
        <v>111</v>
      </c>
      <c r="R12" s="664" t="s">
        <v>14</v>
      </c>
      <c r="S12" s="665">
        <f t="shared" si="0"/>
        <v>100</v>
      </c>
      <c r="T12" s="664" t="s">
        <v>14</v>
      </c>
      <c r="U12" s="665">
        <f t="shared" si="1"/>
        <v>100</v>
      </c>
      <c r="V12" s="664" t="s">
        <v>14</v>
      </c>
      <c r="W12" s="665">
        <f t="shared" si="2"/>
        <v>100</v>
      </c>
      <c r="X12" s="666"/>
      <c r="Y12" s="3308"/>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1"/>
      <c r="M13" s="2486"/>
      <c r="N13" s="2486"/>
      <c r="O13" s="2541"/>
      <c r="P13" s="3349"/>
      <c r="Q13" s="530">
        <f t="shared" si="6"/>
        <v>111</v>
      </c>
      <c r="R13" s="664" t="s">
        <v>14</v>
      </c>
      <c r="S13" s="665">
        <f t="shared" si="0"/>
        <v>100</v>
      </c>
      <c r="T13" s="664" t="s">
        <v>14</v>
      </c>
      <c r="U13" s="665">
        <f t="shared" si="1"/>
        <v>100</v>
      </c>
      <c r="V13" s="664" t="s">
        <v>14</v>
      </c>
      <c r="W13" s="665">
        <f t="shared" si="2"/>
        <v>100</v>
      </c>
      <c r="X13" s="666"/>
      <c r="Y13" s="3308"/>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64" t="s">
        <v>1691</v>
      </c>
      <c r="Q14" s="1262" t="str">
        <f t="shared" si="6"/>
        <v>交通便捷度</v>
      </c>
      <c r="R14" s="667" t="s">
        <v>14</v>
      </c>
      <c r="S14" s="668">
        <f t="shared" si="0"/>
        <v>100</v>
      </c>
      <c r="T14" s="667" t="s">
        <v>14</v>
      </c>
      <c r="U14" s="668">
        <f t="shared" si="1"/>
        <v>100</v>
      </c>
      <c r="V14" s="667" t="s">
        <v>14</v>
      </c>
      <c r="W14" s="668">
        <f t="shared" si="2"/>
        <v>100</v>
      </c>
      <c r="X14" s="1264"/>
      <c r="Y14" s="3364"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1"/>
      <c r="M15" s="2486"/>
      <c r="N15" s="2486"/>
      <c r="O15" s="2541"/>
      <c r="P15" s="3365"/>
      <c r="Q15" s="1262"/>
      <c r="R15" s="667"/>
      <c r="S15" s="668"/>
      <c r="T15" s="667"/>
      <c r="U15" s="668"/>
      <c r="V15" s="667"/>
      <c r="W15" s="668"/>
      <c r="X15" s="1264"/>
      <c r="Y15" s="3365"/>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65"/>
      <c r="Q16" s="1262" t="str">
        <f>B16</f>
        <v>公共配套设施</v>
      </c>
      <c r="R16" s="667" t="s">
        <v>14</v>
      </c>
      <c r="S16" s="668">
        <f>F16</f>
        <v>100</v>
      </c>
      <c r="T16" s="667" t="s">
        <v>14</v>
      </c>
      <c r="U16" s="668">
        <f>H16</f>
        <v>100</v>
      </c>
      <c r="V16" s="667" t="s">
        <v>14</v>
      </c>
      <c r="W16" s="668">
        <f>J16</f>
        <v>100</v>
      </c>
      <c r="X16" s="1264"/>
      <c r="Y16" s="3365"/>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1"/>
      <c r="M17" s="2486"/>
      <c r="N17" s="2486"/>
      <c r="O17" s="2541"/>
      <c r="P17" s="3365"/>
      <c r="Q17" s="1262"/>
      <c r="R17" s="667"/>
      <c r="S17" s="668"/>
      <c r="T17" s="667"/>
      <c r="U17" s="668"/>
      <c r="V17" s="667"/>
      <c r="W17" s="668"/>
      <c r="X17" s="1264"/>
      <c r="Y17" s="3365"/>
      <c r="Z17" s="1263"/>
      <c r="AA17" s="1263">
        <v>1</v>
      </c>
      <c r="AB17" s="1263">
        <v>1</v>
      </c>
      <c r="AC17" s="1263">
        <v>1</v>
      </c>
    </row>
    <row r="18" spans="1:29" ht="42.7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65"/>
      <c r="Q18" s="1262" t="str">
        <f>B18</f>
        <v>基础设施水平</v>
      </c>
      <c r="R18" s="667" t="s">
        <v>14</v>
      </c>
      <c r="S18" s="668">
        <f>F18</f>
        <v>100</v>
      </c>
      <c r="T18" s="667" t="s">
        <v>14</v>
      </c>
      <c r="U18" s="668">
        <f>H18</f>
        <v>100</v>
      </c>
      <c r="V18" s="667" t="s">
        <v>14</v>
      </c>
      <c r="W18" s="668">
        <f>J18</f>
        <v>100</v>
      </c>
      <c r="X18" s="1264"/>
      <c r="Y18" s="3365"/>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91"/>
      <c r="M19" s="2486"/>
      <c r="N19" s="2486"/>
      <c r="O19" s="2541"/>
      <c r="P19" s="3365"/>
      <c r="Q19" s="1262"/>
      <c r="R19" s="667"/>
      <c r="S19" s="668"/>
      <c r="T19" s="667"/>
      <c r="U19" s="668"/>
      <c r="V19" s="667"/>
      <c r="W19" s="668"/>
      <c r="X19" s="1264"/>
      <c r="Y19" s="3365"/>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65"/>
      <c r="Q20" s="1262" t="str">
        <f>B20</f>
        <v>自然及人文环境</v>
      </c>
      <c r="R20" s="667" t="s">
        <v>14</v>
      </c>
      <c r="S20" s="668">
        <f>F20</f>
        <v>100</v>
      </c>
      <c r="T20" s="667" t="s">
        <v>14</v>
      </c>
      <c r="U20" s="668">
        <f>H20</f>
        <v>100</v>
      </c>
      <c r="V20" s="667" t="s">
        <v>14</v>
      </c>
      <c r="W20" s="668">
        <f>J20</f>
        <v>100</v>
      </c>
      <c r="X20" s="1264"/>
      <c r="Y20" s="3365"/>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1"/>
      <c r="M21" s="2486"/>
      <c r="N21" s="2486"/>
      <c r="O21" s="2541"/>
      <c r="P21" s="3365"/>
      <c r="Q21" s="1262"/>
      <c r="R21" s="667"/>
      <c r="S21" s="668"/>
      <c r="T21" s="667"/>
      <c r="U21" s="668"/>
      <c r="V21" s="667"/>
      <c r="W21" s="668"/>
      <c r="X21" s="1264"/>
      <c r="Y21" s="3365"/>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65"/>
      <c r="Q22" s="1262" t="str">
        <f>B22</f>
        <v>楼层</v>
      </c>
      <c r="R22" s="667" t="s">
        <v>14</v>
      </c>
      <c r="S22" s="668">
        <f>F22</f>
        <v>100</v>
      </c>
      <c r="T22" s="667" t="s">
        <v>14</v>
      </c>
      <c r="U22" s="668">
        <f>H22</f>
        <v>100</v>
      </c>
      <c r="V22" s="667" t="s">
        <v>14</v>
      </c>
      <c r="W22" s="668">
        <f>J22</f>
        <v>100</v>
      </c>
      <c r="X22" s="1264"/>
      <c r="Y22" s="3365"/>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65"/>
      <c r="Q23" s="1262">
        <f>B23</f>
        <v>111</v>
      </c>
      <c r="R23" s="667" t="s">
        <v>14</v>
      </c>
      <c r="S23" s="668">
        <f>F23</f>
        <v>100</v>
      </c>
      <c r="T23" s="667" t="s">
        <v>14</v>
      </c>
      <c r="U23" s="668">
        <f>H23</f>
        <v>100</v>
      </c>
      <c r="V23" s="667" t="s">
        <v>14</v>
      </c>
      <c r="W23" s="668">
        <f>J23</f>
        <v>100</v>
      </c>
      <c r="X23" s="1264"/>
      <c r="Y23" s="3365"/>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65"/>
      <c r="Q24" s="1262">
        <f t="shared" ref="Q24:Q34" si="11">B24</f>
        <v>111</v>
      </c>
      <c r="R24" s="667" t="s">
        <v>14</v>
      </c>
      <c r="S24" s="668">
        <f>F24</f>
        <v>100</v>
      </c>
      <c r="T24" s="667" t="s">
        <v>14</v>
      </c>
      <c r="U24" s="668">
        <f>H24</f>
        <v>100</v>
      </c>
      <c r="V24" s="667" t="s">
        <v>14</v>
      </c>
      <c r="W24" s="668">
        <f>J24</f>
        <v>100</v>
      </c>
      <c r="X24" s="1264"/>
      <c r="Y24" s="3365"/>
      <c r="Z24" s="1263">
        <f>Q24</f>
        <v>111</v>
      </c>
      <c r="AA24" s="1263">
        <f t="shared" si="3"/>
        <v>1</v>
      </c>
      <c r="AB24" s="1263">
        <f t="shared" si="4"/>
        <v>1</v>
      </c>
      <c r="AC24" s="1263">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7"/>
      <c r="M25" s="2439"/>
      <c r="N25" s="2439"/>
      <c r="O25" s="2539"/>
      <c r="P25" s="3365"/>
      <c r="Q25" s="530">
        <f t="shared" si="11"/>
        <v>111</v>
      </c>
      <c r="R25" s="664" t="s">
        <v>14</v>
      </c>
      <c r="S25" s="665">
        <f>F25</f>
        <v>100</v>
      </c>
      <c r="T25" s="664" t="s">
        <v>14</v>
      </c>
      <c r="U25" s="665">
        <f>H25</f>
        <v>100</v>
      </c>
      <c r="V25" s="664" t="s">
        <v>14</v>
      </c>
      <c r="W25" s="665">
        <f>J25</f>
        <v>100</v>
      </c>
      <c r="X25" s="666"/>
      <c r="Y25" s="3365"/>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1"/>
      <c r="M26" s="2486"/>
      <c r="N26" s="2486"/>
      <c r="O26" s="2541"/>
      <c r="P26" s="3366"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367"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67"/>
      <c r="Q27" s="531" t="str">
        <f t="shared" si="11"/>
        <v>成新率</v>
      </c>
      <c r="R27" s="669" t="s">
        <v>14</v>
      </c>
      <c r="S27" s="670" t="e">
        <f t="shared" si="12"/>
        <v>#N/A</v>
      </c>
      <c r="T27" s="669" t="s">
        <v>14</v>
      </c>
      <c r="U27" s="670" t="e">
        <f t="shared" si="13"/>
        <v>#N/A</v>
      </c>
      <c r="V27" s="669" t="s">
        <v>14</v>
      </c>
      <c r="W27" s="670" t="e">
        <f t="shared" si="14"/>
        <v>#N/A</v>
      </c>
      <c r="X27" s="671"/>
      <c r="Y27" s="3367"/>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67"/>
      <c r="Q28" s="1262" t="str">
        <f t="shared" si="11"/>
        <v>物业等级</v>
      </c>
      <c r="R28" s="667" t="s">
        <v>14</v>
      </c>
      <c r="S28" s="668">
        <f t="shared" si="12"/>
        <v>100</v>
      </c>
      <c r="T28" s="667" t="s">
        <v>14</v>
      </c>
      <c r="U28" s="668">
        <f t="shared" si="13"/>
        <v>100</v>
      </c>
      <c r="V28" s="667" t="s">
        <v>14</v>
      </c>
      <c r="W28" s="668">
        <f t="shared" si="14"/>
        <v>100</v>
      </c>
      <c r="X28" s="1264"/>
      <c r="Y28" s="3367"/>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67"/>
      <c r="Q29" s="1262" t="str">
        <f t="shared" si="11"/>
        <v>有无电梯</v>
      </c>
      <c r="R29" s="667" t="s">
        <v>14</v>
      </c>
      <c r="S29" s="668">
        <f t="shared" si="12"/>
        <v>100</v>
      </c>
      <c r="T29" s="667" t="s">
        <v>14</v>
      </c>
      <c r="U29" s="668">
        <f t="shared" si="13"/>
        <v>100</v>
      </c>
      <c r="V29" s="667" t="s">
        <v>14</v>
      </c>
      <c r="W29" s="668">
        <f t="shared" si="14"/>
        <v>100</v>
      </c>
      <c r="X29" s="1264"/>
      <c r="Y29" s="3367"/>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67"/>
      <c r="Q30" s="1262" t="str">
        <f t="shared" si="11"/>
        <v>建筑面积</v>
      </c>
      <c r="R30" s="667" t="s">
        <v>14</v>
      </c>
      <c r="S30" s="668" t="e">
        <f t="shared" si="12"/>
        <v>#N/A</v>
      </c>
      <c r="T30" s="667" t="s">
        <v>14</v>
      </c>
      <c r="U30" s="668" t="e">
        <f t="shared" si="13"/>
        <v>#N/A</v>
      </c>
      <c r="V30" s="667" t="s">
        <v>14</v>
      </c>
      <c r="W30" s="668" t="e">
        <f t="shared" si="14"/>
        <v>#N/A</v>
      </c>
      <c r="X30" s="1264"/>
      <c r="Y30" s="3367"/>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67"/>
      <c r="Q31" s="530" t="str">
        <f t="shared" si="11"/>
        <v>是否封闭</v>
      </c>
      <c r="R31" s="664" t="s">
        <v>14</v>
      </c>
      <c r="S31" s="665">
        <f t="shared" si="12"/>
        <v>100</v>
      </c>
      <c r="T31" s="664" t="s">
        <v>14</v>
      </c>
      <c r="U31" s="665">
        <f t="shared" si="13"/>
        <v>100</v>
      </c>
      <c r="V31" s="664" t="s">
        <v>14</v>
      </c>
      <c r="W31" s="665">
        <f t="shared" si="14"/>
        <v>100</v>
      </c>
      <c r="X31" s="666"/>
      <c r="Y31" s="336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67" t="s">
        <v>1696</v>
      </c>
      <c r="Q32" s="1262">
        <f t="shared" si="11"/>
        <v>111</v>
      </c>
      <c r="R32" s="667" t="s">
        <v>14</v>
      </c>
      <c r="S32" s="668">
        <f t="shared" si="12"/>
        <v>100</v>
      </c>
      <c r="T32" s="667" t="s">
        <v>14</v>
      </c>
      <c r="U32" s="668">
        <f t="shared" si="13"/>
        <v>100</v>
      </c>
      <c r="V32" s="667" t="s">
        <v>14</v>
      </c>
      <c r="W32" s="668">
        <f t="shared" si="14"/>
        <v>100</v>
      </c>
      <c r="X32" s="1264"/>
      <c r="Y32" s="3367"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67"/>
      <c r="Q33" s="1262">
        <f t="shared" si="11"/>
        <v>111</v>
      </c>
      <c r="R33" s="667" t="s">
        <v>14</v>
      </c>
      <c r="S33" s="668">
        <f t="shared" si="12"/>
        <v>100</v>
      </c>
      <c r="T33" s="667" t="s">
        <v>14</v>
      </c>
      <c r="U33" s="668">
        <f t="shared" si="13"/>
        <v>100</v>
      </c>
      <c r="V33" s="667" t="s">
        <v>14</v>
      </c>
      <c r="W33" s="668">
        <f t="shared" si="14"/>
        <v>100</v>
      </c>
      <c r="X33" s="1264"/>
      <c r="Y33" s="3367"/>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1"/>
      <c r="M34" s="2486"/>
      <c r="N34" s="2486"/>
      <c r="O34" s="2541"/>
      <c r="P34" s="3367"/>
      <c r="Q34" s="1262">
        <f t="shared" si="11"/>
        <v>111</v>
      </c>
      <c r="R34" s="667" t="s">
        <v>14</v>
      </c>
      <c r="S34" s="668">
        <f t="shared" si="12"/>
        <v>100</v>
      </c>
      <c r="T34" s="667" t="s">
        <v>14</v>
      </c>
      <c r="U34" s="668">
        <f t="shared" si="13"/>
        <v>100</v>
      </c>
      <c r="V34" s="667" t="s">
        <v>14</v>
      </c>
      <c r="W34" s="668">
        <f t="shared" si="14"/>
        <v>100</v>
      </c>
      <c r="X34" s="1264"/>
      <c r="Y34" s="3367"/>
      <c r="Z34" s="1263">
        <f t="shared" si="15"/>
        <v>111</v>
      </c>
      <c r="AA34" s="1263">
        <f t="shared" si="3"/>
        <v>1</v>
      </c>
      <c r="AB34" s="1263">
        <f t="shared" si="4"/>
        <v>1</v>
      </c>
      <c r="AC34" s="1263">
        <f t="shared" si="5"/>
        <v>1</v>
      </c>
    </row>
    <row r="35" spans="1:30" ht="15">
      <c r="A35" s="416" t="s">
        <v>1708</v>
      </c>
      <c r="B35" s="417"/>
      <c r="C35" s="1081" t="s">
        <v>0</v>
      </c>
      <c r="D35" s="418"/>
      <c r="E35" s="419"/>
      <c r="F35" s="420"/>
      <c r="G35" s="421"/>
      <c r="H35" s="422"/>
      <c r="I35" s="419"/>
      <c r="J35" s="422"/>
      <c r="K35" s="674"/>
      <c r="L35" s="2493"/>
      <c r="M35" s="2486"/>
      <c r="N35" s="2486"/>
      <c r="O35" s="2486"/>
      <c r="P35" s="3349" t="str">
        <f>A35</f>
        <v>成交单价（元/平方米）</v>
      </c>
      <c r="Q35" s="3349"/>
      <c r="R35" s="3362">
        <f>E35</f>
        <v>0</v>
      </c>
      <c r="S35" s="3362"/>
      <c r="T35" s="3362">
        <f>G35</f>
        <v>0</v>
      </c>
      <c r="U35" s="3362"/>
      <c r="V35" s="3362">
        <f>I35</f>
        <v>0</v>
      </c>
      <c r="W35" s="3362"/>
      <c r="X35" s="385"/>
      <c r="Y35" s="673"/>
      <c r="Z35" s="385"/>
      <c r="AA35" s="385"/>
      <c r="AB35" s="385"/>
      <c r="AC35" s="385"/>
    </row>
    <row r="36" spans="1:30" ht="15.75" thickBot="1">
      <c r="A36" s="423" t="s">
        <v>1793</v>
      </c>
      <c r="B36" s="424"/>
      <c r="C36" s="1082" t="e">
        <f>R37</f>
        <v>#DIV/0!</v>
      </c>
      <c r="D36" s="2140" t="s">
        <v>2138</v>
      </c>
      <c r="E36" s="1083" t="e">
        <f>R36</f>
        <v>#DIV/0!</v>
      </c>
      <c r="F36" s="2141"/>
      <c r="G36" s="1082" t="e">
        <f>T36</f>
        <v>#DIV/0!</v>
      </c>
      <c r="H36" s="2141"/>
      <c r="I36" s="1083" t="e">
        <f>V36</f>
        <v>#DIV/0!</v>
      </c>
      <c r="J36" s="2141"/>
      <c r="K36" s="2143">
        <f>F36+H36+J36</f>
        <v>0</v>
      </c>
      <c r="L36" s="2493"/>
      <c r="M36" s="2486"/>
      <c r="N36" s="2486"/>
      <c r="O36" s="2486"/>
      <c r="P36" s="3349" t="str">
        <f>A36</f>
        <v>比较价值（元/平方米）</v>
      </c>
      <c r="Q36" s="3349"/>
      <c r="R36" s="3362" t="e">
        <f>IF(F1="售价",ROUND(PRODUCT(R35,AA7:AA34),0),ROUND(PRODUCT(R35,AA7:AA34),1))</f>
        <v>#DIV/0!</v>
      </c>
      <c r="S36" s="3362"/>
      <c r="T36" s="3362" t="e">
        <f>IF(F1="售价",ROUND(PRODUCT(T35,AB7:AB34),0),ROUND(PRODUCT(T35,AB7:AB34),1))</f>
        <v>#DIV/0!</v>
      </c>
      <c r="U36" s="3362"/>
      <c r="V36" s="3362" t="e">
        <f>IF(F1="售价",ROUND(PRODUCT(V35,AC7:AC34),0),ROUND(PRODUCT(V35,AC7:AC34),1))</f>
        <v>#DIV/0!</v>
      </c>
      <c r="W36" s="3362"/>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369" t="str">
        <f>A37</f>
        <v>估价对象XX用房的比较价值（楼面单价，元/平方米）</v>
      </c>
      <c r="Q37" s="3370"/>
      <c r="R37" s="3425" t="e">
        <f>IF(F1="售价",ROUND(IF(D36="简单平均",AVERAGE(R36:W36),R36*F36+T36*H36+V36*J36),0),ROUND(IF(D36="简单平均",AVERAGE(R36:V36),R36*F36+T36*H36+V36*J36),1))</f>
        <v>#DIV/0!</v>
      </c>
      <c r="S37" s="3425"/>
      <c r="T37" s="3425"/>
      <c r="U37" s="3425"/>
      <c r="V37" s="3425"/>
      <c r="W37" s="3425"/>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2" t="str">
        <f>YEAR(C7)&amp;"-"&amp;MONTH(C7)</f>
        <v>2024-9</v>
      </c>
      <c r="D46" s="1103">
        <f>EDATE(C46,-1)</f>
        <v>45505</v>
      </c>
      <c r="E46" s="1103">
        <f t="shared" ref="E46:O46" si="16">EDATE(D46,-1)</f>
        <v>45474</v>
      </c>
      <c r="F46" s="1103">
        <f t="shared" si="16"/>
        <v>45444</v>
      </c>
      <c r="G46" s="1103">
        <f t="shared" si="16"/>
        <v>45413</v>
      </c>
      <c r="H46" s="1103">
        <f t="shared" si="16"/>
        <v>45383</v>
      </c>
      <c r="I46" s="1103">
        <f t="shared" si="16"/>
        <v>45352</v>
      </c>
      <c r="J46" s="1103">
        <f t="shared" si="16"/>
        <v>45323</v>
      </c>
      <c r="K46" s="1103">
        <f t="shared" si="16"/>
        <v>45292</v>
      </c>
      <c r="L46" s="1103">
        <f t="shared" si="16"/>
        <v>45261</v>
      </c>
      <c r="M46" s="1103">
        <f t="shared" si="16"/>
        <v>45231</v>
      </c>
      <c r="N46" s="1103">
        <f t="shared" si="16"/>
        <v>45200</v>
      </c>
      <c r="O46" s="1103">
        <f t="shared" si="16"/>
        <v>45170</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1">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8 E8 G8 I8" xr:uid="{00000000-0002-0000-2100-000003000000}">
      <formula1>仓储交易情况</formula1>
    </dataValidation>
    <dataValidation type="list" allowBlank="1" showInputMessage="1" showErrorMessage="1" sqref="E9 G9 I9" xr:uid="{00000000-0002-0000-2100-000004000000}">
      <formula1>仓储用途</formula1>
    </dataValidation>
    <dataValidation type="list" allowBlank="1" showInputMessage="1" showErrorMessage="1" sqref="C21 E21 G21 I21" xr:uid="{00000000-0002-0000-2100-000005000000}">
      <formula1>环境</formula1>
    </dataValidation>
    <dataValidation type="list" allowBlank="1" showInputMessage="1" showErrorMessage="1" sqref="C22 E22 G22 I22" xr:uid="{00000000-0002-0000-2100-000006000000}">
      <formula1>仓储楼层</formula1>
    </dataValidation>
    <dataValidation type="list" allowBlank="1" showInputMessage="1" showErrorMessage="1" sqref="C26 E26 G26 I26" xr:uid="{00000000-0002-0000-2100-000007000000}">
      <formula1>仓储公共部分装修</formula1>
    </dataValidation>
    <dataValidation type="list" allowBlank="1" showInputMessage="1" showErrorMessage="1" sqref="C29 E29 G29 I29" xr:uid="{00000000-0002-0000-2100-000008000000}">
      <formula1>有无电梯</formula1>
    </dataValidation>
    <dataValidation type="list" allowBlank="1" showInputMessage="1" showErrorMessage="1" sqref="C31 E31 G31 I31" xr:uid="{00000000-0002-0000-2100-000009000000}">
      <formula1>是否封闭</formula1>
    </dataValidation>
    <dataValidation type="list" allowBlank="1" showInputMessage="1" showErrorMessage="1" sqref="B1" xr:uid="{00000000-0002-0000-2100-00000A000000}">
      <formula1>地类判定</formula1>
    </dataValidation>
    <dataValidation type="list" allowBlank="1" showInputMessage="1" showErrorMessage="1" sqref="C28 E28 G28 I28" xr:uid="{00000000-0002-0000-2100-00000B000000}">
      <formula1>仓储物业等级</formula1>
    </dataValidation>
    <dataValidation type="list" allowBlank="1" showInputMessage="1" showErrorMessage="1" sqref="C19 E19 G19 I19" xr:uid="{00000000-0002-0000-2100-00000C000000}">
      <formula1>基础设施水平</formula1>
    </dataValidation>
    <dataValidation type="list" allowBlank="1" showInputMessage="1" showErrorMessage="1" sqref="F1" xr:uid="{00000000-0002-0000-2100-00000D000000}">
      <formula1>"售价,租金"</formula1>
    </dataValidation>
    <dataValidation type="list" allowBlank="1" showInputMessage="1" showErrorMessage="1" sqref="C2" xr:uid="{00000000-0002-0000-2100-00000E000000}">
      <formula1>"需扣减承租人权益,——"</formula1>
    </dataValidation>
    <dataValidation type="list" allowBlank="1" showInputMessage="1" showErrorMessage="1" sqref="F2" xr:uid="{00000000-0002-0000-2100-00000F000000}">
      <formula1>估价方法</formula1>
    </dataValidation>
    <dataValidation type="list" allowBlank="1" showInputMessage="1" showErrorMessage="1" sqref="D36" xr:uid="{00000000-0002-0000-2100-000010000000}">
      <formula1>"简单平均,加权平均"</formula1>
    </dataValidation>
    <dataValidation type="list" allowBlank="1" showInputMessage="1" showErrorMessage="1" sqref="E1" xr:uid="{00000000-0002-0000-21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50" t="s">
        <v>1770</v>
      </c>
      <c r="D4" s="3351"/>
      <c r="E4" s="3352" t="s">
        <v>1771</v>
      </c>
      <c r="F4" s="3353"/>
      <c r="G4" s="3350" t="s">
        <v>1772</v>
      </c>
      <c r="H4" s="3351"/>
      <c r="I4" s="3350" t="s">
        <v>1773</v>
      </c>
      <c r="J4" s="3351"/>
      <c r="K4" s="537" t="s">
        <v>1774</v>
      </c>
      <c r="L4" s="2485"/>
      <c r="M4" s="2486"/>
      <c r="N4" s="2486"/>
      <c r="O4" s="2486"/>
      <c r="P4" s="3354" t="s">
        <v>1775</v>
      </c>
      <c r="Q4" s="3355"/>
      <c r="R4" s="3337" t="s">
        <v>1771</v>
      </c>
      <c r="S4" s="3338"/>
      <c r="T4" s="3337" t="s">
        <v>1772</v>
      </c>
      <c r="U4" s="3338"/>
      <c r="V4" s="3362" t="s">
        <v>1773</v>
      </c>
      <c r="W4" s="3362"/>
      <c r="X4" s="1264"/>
      <c r="Y4" s="3337" t="s">
        <v>1775</v>
      </c>
      <c r="Z4" s="3338"/>
      <c r="AA4" s="3332" t="s">
        <v>1771</v>
      </c>
      <c r="AB4" s="3333" t="s">
        <v>1772</v>
      </c>
      <c r="AC4" s="3332" t="s">
        <v>1773</v>
      </c>
    </row>
    <row r="5" spans="1:29" ht="15">
      <c r="A5" s="348"/>
      <c r="B5" s="349"/>
      <c r="C5" s="3343" t="s">
        <v>1673</v>
      </c>
      <c r="D5" s="3344"/>
      <c r="E5" s="3341" t="s">
        <v>1674</v>
      </c>
      <c r="F5" s="3342"/>
      <c r="G5" s="3343" t="s">
        <v>1675</v>
      </c>
      <c r="H5" s="3344"/>
      <c r="I5" s="3343" t="s">
        <v>1676</v>
      </c>
      <c r="J5" s="3344"/>
      <c r="K5" s="537"/>
      <c r="L5" s="2485"/>
      <c r="M5" s="2486"/>
      <c r="N5" s="2486"/>
      <c r="O5" s="2486"/>
      <c r="P5" s="3356"/>
      <c r="Q5" s="3357"/>
      <c r="R5" s="3339"/>
      <c r="S5" s="3340"/>
      <c r="T5" s="3339"/>
      <c r="U5" s="3340"/>
      <c r="V5" s="3362"/>
      <c r="W5" s="3362"/>
      <c r="X5" s="1264"/>
      <c r="Y5" s="3339"/>
      <c r="Z5" s="3340"/>
      <c r="AA5" s="3333"/>
      <c r="AB5" s="3333"/>
      <c r="AC5" s="3333"/>
    </row>
    <row r="6" spans="1:29" ht="15.75" thickBot="1">
      <c r="A6" s="350"/>
      <c r="B6" s="351"/>
      <c r="C6" s="3426" t="s">
        <v>1919</v>
      </c>
      <c r="D6" s="3427"/>
      <c r="E6" s="3428" t="s">
        <v>1919</v>
      </c>
      <c r="F6" s="3429"/>
      <c r="G6" s="3426" t="s">
        <v>1919</v>
      </c>
      <c r="H6" s="3427"/>
      <c r="I6" s="3426" t="s">
        <v>1919</v>
      </c>
      <c r="J6" s="3427"/>
      <c r="K6" s="537" t="s">
        <v>1678</v>
      </c>
      <c r="L6" s="2485"/>
      <c r="M6" s="2486"/>
      <c r="N6" s="2486"/>
      <c r="O6" s="2486"/>
      <c r="P6" s="3358"/>
      <c r="Q6" s="3359"/>
      <c r="R6" s="3339"/>
      <c r="S6" s="3340"/>
      <c r="T6" s="3360"/>
      <c r="U6" s="3361"/>
      <c r="V6" s="3362"/>
      <c r="W6" s="3362"/>
      <c r="X6" s="1264"/>
      <c r="Y6" s="3360"/>
      <c r="Z6" s="3361"/>
      <c r="AA6" s="3334"/>
      <c r="AB6" s="3334"/>
      <c r="AC6" s="3334"/>
    </row>
    <row r="7" spans="1:29" s="102" customFormat="1" ht="15.75" thickBot="1">
      <c r="A7" s="352" t="s">
        <v>1679</v>
      </c>
      <c r="B7" s="353"/>
      <c r="C7" s="354">
        <f>'数据-取费表'!B2</f>
        <v>45544</v>
      </c>
      <c r="D7" s="355">
        <v>100</v>
      </c>
      <c r="E7" s="356"/>
      <c r="F7" s="357">
        <f>SUMIF(65:65,YEAR(E7)&amp;"-"&amp;INT((MONTH(E7)+2)/3),66:66)</f>
        <v>0</v>
      </c>
      <c r="G7" s="1821"/>
      <c r="H7" s="355">
        <f>SUMIF(65:65,YEAR(G7)&amp;"-"&amp;INT((MONTH(G7)+2)/3),66:66)</f>
        <v>0</v>
      </c>
      <c r="I7" s="1821"/>
      <c r="J7" s="355">
        <f>SUMIF(65:65,YEAR(I7)&amp;"-"&amp;INT((MONTH(I7)+2)/3),66:66)</f>
        <v>0</v>
      </c>
      <c r="K7" s="38"/>
      <c r="L7" s="2487"/>
      <c r="M7" s="2439"/>
      <c r="N7" s="2439"/>
      <c r="O7" s="2439"/>
      <c r="P7" s="3335" t="s">
        <v>1680</v>
      </c>
      <c r="Q7" s="3363"/>
      <c r="R7" s="664" t="s">
        <v>14</v>
      </c>
      <c r="S7" s="665">
        <f t="shared" ref="S7:S15" si="0">F7</f>
        <v>0</v>
      </c>
      <c r="T7" s="664" t="s">
        <v>14</v>
      </c>
      <c r="U7" s="665">
        <f t="shared" ref="U7:U15" si="1">H7</f>
        <v>0</v>
      </c>
      <c r="V7" s="664" t="s">
        <v>14</v>
      </c>
      <c r="W7" s="665">
        <f t="shared" ref="W7:W15" si="2">J7</f>
        <v>0</v>
      </c>
      <c r="X7" s="666"/>
      <c r="Y7" s="3335" t="s">
        <v>1680</v>
      </c>
      <c r="Z7" s="3336"/>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35" t="s">
        <v>1683</v>
      </c>
      <c r="Q8" s="3336"/>
      <c r="R8" s="664" t="s">
        <v>14</v>
      </c>
      <c r="S8" s="665">
        <f t="shared" si="0"/>
        <v>0</v>
      </c>
      <c r="T8" s="664" t="s">
        <v>14</v>
      </c>
      <c r="U8" s="665">
        <f t="shared" si="1"/>
        <v>0</v>
      </c>
      <c r="V8" s="664" t="s">
        <v>14</v>
      </c>
      <c r="W8" s="665">
        <f t="shared" si="2"/>
        <v>0</v>
      </c>
      <c r="X8" s="666"/>
      <c r="Y8" s="3335" t="s">
        <v>1683</v>
      </c>
      <c r="Z8" s="3336"/>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7"/>
      <c r="M9" s="2439"/>
      <c r="N9" s="2439"/>
      <c r="O9" s="2539"/>
      <c r="P9" s="3349" t="s">
        <v>1686</v>
      </c>
      <c r="Q9" s="530" t="str">
        <f t="shared" ref="Q9:Q15" si="6">B9</f>
        <v>用途</v>
      </c>
      <c r="R9" s="664" t="s">
        <v>14</v>
      </c>
      <c r="S9" s="665">
        <f t="shared" si="0"/>
        <v>100</v>
      </c>
      <c r="T9" s="664" t="s">
        <v>14</v>
      </c>
      <c r="U9" s="665">
        <f t="shared" si="1"/>
        <v>100</v>
      </c>
      <c r="V9" s="664" t="s">
        <v>14</v>
      </c>
      <c r="W9" s="665">
        <f t="shared" si="2"/>
        <v>100</v>
      </c>
      <c r="X9" s="666"/>
      <c r="Y9" s="330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120</v>
      </c>
      <c r="G10" s="371"/>
      <c r="H10" s="119">
        <f>ROUND(100/'数据-取费表'!G16,0)</f>
        <v>120</v>
      </c>
      <c r="I10" s="371"/>
      <c r="J10" s="119">
        <f>ROUND(100/'数据-取费表'!G16,0)</f>
        <v>120</v>
      </c>
      <c r="K10" s="592"/>
      <c r="L10" s="2488"/>
      <c r="M10" s="2489"/>
      <c r="N10" s="2489"/>
      <c r="O10" s="2540"/>
      <c r="P10" s="3349"/>
      <c r="Q10" s="530" t="str">
        <f t="shared" si="6"/>
        <v>土地使用年限（年）</v>
      </c>
      <c r="R10" s="664" t="s">
        <v>14</v>
      </c>
      <c r="S10" s="665">
        <f t="shared" si="0"/>
        <v>120</v>
      </c>
      <c r="T10" s="664" t="s">
        <v>14</v>
      </c>
      <c r="U10" s="665">
        <f t="shared" si="1"/>
        <v>120</v>
      </c>
      <c r="V10" s="664" t="s">
        <v>14</v>
      </c>
      <c r="W10" s="665">
        <f t="shared" si="2"/>
        <v>120</v>
      </c>
      <c r="X10" s="666"/>
      <c r="Y10" s="3308"/>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49"/>
      <c r="Q11" s="530" t="str">
        <f t="shared" si="6"/>
        <v>容积率</v>
      </c>
      <c r="R11" s="664" t="s">
        <v>14</v>
      </c>
      <c r="S11" s="665" t="e">
        <f t="shared" si="0"/>
        <v>#N/A</v>
      </c>
      <c r="T11" s="664" t="s">
        <v>14</v>
      </c>
      <c r="U11" s="665" t="e">
        <f t="shared" si="1"/>
        <v>#N/A</v>
      </c>
      <c r="V11" s="664" t="s">
        <v>14</v>
      </c>
      <c r="W11" s="665" t="e">
        <f t="shared" si="2"/>
        <v>#N/A</v>
      </c>
      <c r="X11" s="666"/>
      <c r="Y11" s="330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49"/>
      <c r="Q12" s="530">
        <f t="shared" si="6"/>
        <v>111</v>
      </c>
      <c r="R12" s="664" t="s">
        <v>14</v>
      </c>
      <c r="S12" s="665">
        <f t="shared" si="0"/>
        <v>100</v>
      </c>
      <c r="T12" s="664" t="s">
        <v>14</v>
      </c>
      <c r="U12" s="665">
        <f t="shared" si="1"/>
        <v>100</v>
      </c>
      <c r="V12" s="664" t="s">
        <v>14</v>
      </c>
      <c r="W12" s="665">
        <f t="shared" si="2"/>
        <v>100</v>
      </c>
      <c r="X12" s="666"/>
      <c r="Y12" s="330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49"/>
      <c r="Q13" s="530">
        <f t="shared" si="6"/>
        <v>111</v>
      </c>
      <c r="R13" s="664" t="s">
        <v>14</v>
      </c>
      <c r="S13" s="665">
        <f t="shared" si="0"/>
        <v>100</v>
      </c>
      <c r="T13" s="664" t="s">
        <v>14</v>
      </c>
      <c r="U13" s="665">
        <f t="shared" si="1"/>
        <v>100</v>
      </c>
      <c r="V13" s="664" t="s">
        <v>14</v>
      </c>
      <c r="W13" s="665">
        <f t="shared" si="2"/>
        <v>100</v>
      </c>
      <c r="X13" s="666"/>
      <c r="Y13" s="3308"/>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49"/>
      <c r="Q14" s="530">
        <f t="shared" si="6"/>
        <v>111</v>
      </c>
      <c r="R14" s="664" t="s">
        <v>14</v>
      </c>
      <c r="S14" s="665">
        <f t="shared" si="0"/>
        <v>100</v>
      </c>
      <c r="T14" s="664" t="s">
        <v>14</v>
      </c>
      <c r="U14" s="665">
        <f t="shared" si="1"/>
        <v>100</v>
      </c>
      <c r="V14" s="664" t="s">
        <v>14</v>
      </c>
      <c r="W14" s="665">
        <f t="shared" si="2"/>
        <v>100</v>
      </c>
      <c r="X14" s="666"/>
      <c r="Y14" s="3308"/>
      <c r="Z14" s="50">
        <f t="shared" si="7"/>
        <v>111</v>
      </c>
      <c r="AA14" s="50">
        <f t="shared" si="3"/>
        <v>1</v>
      </c>
      <c r="AB14" s="50">
        <f t="shared" si="4"/>
        <v>1</v>
      </c>
      <c r="AC14" s="50">
        <f t="shared" si="5"/>
        <v>1</v>
      </c>
    </row>
    <row r="15" spans="1:29" ht="71.25">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64" t="s">
        <v>1691</v>
      </c>
      <c r="Q15" s="1262" t="str">
        <f t="shared" si="6"/>
        <v>产业集聚程度</v>
      </c>
      <c r="R15" s="667" t="s">
        <v>14</v>
      </c>
      <c r="S15" s="668">
        <f t="shared" si="0"/>
        <v>100</v>
      </c>
      <c r="T15" s="667" t="s">
        <v>14</v>
      </c>
      <c r="U15" s="668">
        <f t="shared" si="1"/>
        <v>100</v>
      </c>
      <c r="V15" s="667" t="s">
        <v>14</v>
      </c>
      <c r="W15" s="668">
        <f t="shared" si="2"/>
        <v>100</v>
      </c>
      <c r="X15" s="1264"/>
      <c r="Y15" s="3364"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1"/>
      <c r="M16" s="2486"/>
      <c r="N16" s="2486"/>
      <c r="O16" s="2541"/>
      <c r="P16" s="3365"/>
      <c r="Q16" s="1262"/>
      <c r="R16" s="667"/>
      <c r="S16" s="668"/>
      <c r="T16" s="667"/>
      <c r="U16" s="668"/>
      <c r="V16" s="667"/>
      <c r="W16" s="668"/>
      <c r="X16" s="1264"/>
      <c r="Y16" s="3365"/>
      <c r="Z16" s="1263"/>
      <c r="AA16" s="1263">
        <v>1</v>
      </c>
      <c r="AB16" s="1263">
        <v>1</v>
      </c>
      <c r="AC16" s="1263">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65"/>
      <c r="Q17" s="1262" t="str">
        <f>B17</f>
        <v>交通便捷度</v>
      </c>
      <c r="R17" s="667" t="s">
        <v>14</v>
      </c>
      <c r="S17" s="668">
        <f>F17</f>
        <v>100</v>
      </c>
      <c r="T17" s="667" t="s">
        <v>14</v>
      </c>
      <c r="U17" s="668">
        <f>H17</f>
        <v>100</v>
      </c>
      <c r="V17" s="667" t="s">
        <v>14</v>
      </c>
      <c r="W17" s="668">
        <f>J17</f>
        <v>100</v>
      </c>
      <c r="X17" s="1264"/>
      <c r="Y17" s="3365"/>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1"/>
      <c r="M18" s="2486"/>
      <c r="N18" s="2486"/>
      <c r="O18" s="2541"/>
      <c r="P18" s="3365"/>
      <c r="Q18" s="1262"/>
      <c r="R18" s="667"/>
      <c r="S18" s="668"/>
      <c r="T18" s="667"/>
      <c r="U18" s="668"/>
      <c r="V18" s="667"/>
      <c r="W18" s="668"/>
      <c r="X18" s="1264"/>
      <c r="Y18" s="3365"/>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65"/>
      <c r="Q19" s="1262" t="str">
        <f t="shared" ref="Q19:Q33" si="8">B19</f>
        <v>区域土地利用方向</v>
      </c>
      <c r="R19" s="667" t="s">
        <v>14</v>
      </c>
      <c r="S19" s="668">
        <f>F19</f>
        <v>100</v>
      </c>
      <c r="T19" s="667" t="s">
        <v>14</v>
      </c>
      <c r="U19" s="668">
        <f>H19</f>
        <v>100</v>
      </c>
      <c r="V19" s="667" t="s">
        <v>14</v>
      </c>
      <c r="W19" s="668">
        <f>J19</f>
        <v>100</v>
      </c>
      <c r="X19" s="1264"/>
      <c r="Y19" s="3365"/>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1"/>
      <c r="M20" s="2486"/>
      <c r="N20" s="2486"/>
      <c r="O20" s="2541"/>
      <c r="P20" s="3365"/>
      <c r="Q20" s="1262"/>
      <c r="R20" s="667"/>
      <c r="S20" s="668"/>
      <c r="T20" s="667"/>
      <c r="U20" s="668"/>
      <c r="V20" s="667"/>
      <c r="W20" s="668"/>
      <c r="X20" s="1264"/>
      <c r="Y20" s="3365"/>
      <c r="Z20" s="1263"/>
      <c r="AA20" s="1263"/>
      <c r="AB20" s="1263"/>
      <c r="AC20" s="1263"/>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65"/>
      <c r="Q21" s="1262" t="str">
        <f t="shared" si="8"/>
        <v>环境状况</v>
      </c>
      <c r="R21" s="667" t="s">
        <v>14</v>
      </c>
      <c r="S21" s="668">
        <f>F21</f>
        <v>100</v>
      </c>
      <c r="T21" s="667" t="s">
        <v>14</v>
      </c>
      <c r="U21" s="668">
        <f>H21</f>
        <v>100</v>
      </c>
      <c r="V21" s="667" t="s">
        <v>14</v>
      </c>
      <c r="W21" s="668">
        <f>J21</f>
        <v>100</v>
      </c>
      <c r="X21" s="1264"/>
      <c r="Y21" s="3365"/>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1"/>
      <c r="M22" s="2486"/>
      <c r="N22" s="2486"/>
      <c r="O22" s="2541"/>
      <c r="P22" s="3365"/>
      <c r="Q22" s="1262"/>
      <c r="R22" s="667"/>
      <c r="S22" s="668"/>
      <c r="T22" s="667"/>
      <c r="U22" s="668"/>
      <c r="V22" s="667"/>
      <c r="W22" s="668"/>
      <c r="X22" s="1264"/>
      <c r="Y22" s="3365"/>
      <c r="Z22" s="1263"/>
      <c r="AA22" s="1263">
        <v>1</v>
      </c>
      <c r="AB22" s="1263">
        <v>1</v>
      </c>
      <c r="AC22" s="1263">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65"/>
      <c r="Q23" s="530" t="str">
        <f t="shared" si="8"/>
        <v>公共配套设施</v>
      </c>
      <c r="R23" s="664" t="s">
        <v>14</v>
      </c>
      <c r="S23" s="665">
        <f>F23</f>
        <v>100</v>
      </c>
      <c r="T23" s="664" t="s">
        <v>14</v>
      </c>
      <c r="U23" s="665">
        <f>H23</f>
        <v>100</v>
      </c>
      <c r="V23" s="664" t="s">
        <v>14</v>
      </c>
      <c r="W23" s="665">
        <f>J23</f>
        <v>100</v>
      </c>
      <c r="X23" s="666"/>
      <c r="Y23" s="3365"/>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7"/>
      <c r="M24" s="2439"/>
      <c r="N24" s="2439"/>
      <c r="O24" s="2539"/>
      <c r="P24" s="3365"/>
      <c r="Q24" s="530"/>
      <c r="R24" s="664"/>
      <c r="S24" s="665"/>
      <c r="T24" s="664"/>
      <c r="U24" s="665"/>
      <c r="V24" s="664"/>
      <c r="W24" s="665"/>
      <c r="X24" s="666"/>
      <c r="Y24" s="3365"/>
      <c r="Z24" s="50"/>
      <c r="AA24" s="50">
        <v>1</v>
      </c>
      <c r="AB24" s="50">
        <v>1</v>
      </c>
      <c r="AC24" s="50">
        <v>1</v>
      </c>
    </row>
    <row r="25" spans="1:29" s="102" customFormat="1" ht="42.7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65"/>
      <c r="Q25" s="530" t="str">
        <f t="shared" ref="Q25" si="9">B25</f>
        <v>基础设施水平</v>
      </c>
      <c r="R25" s="664" t="s">
        <v>14</v>
      </c>
      <c r="S25" s="665">
        <f>F25</f>
        <v>100</v>
      </c>
      <c r="T25" s="664" t="s">
        <v>14</v>
      </c>
      <c r="U25" s="665">
        <f>H25</f>
        <v>100</v>
      </c>
      <c r="V25" s="664" t="s">
        <v>14</v>
      </c>
      <c r="W25" s="665">
        <f>J25</f>
        <v>100</v>
      </c>
      <c r="X25" s="666"/>
      <c r="Y25" s="3365"/>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7"/>
      <c r="M26" s="2439"/>
      <c r="N26" s="2439"/>
      <c r="O26" s="2539"/>
      <c r="P26" s="3365"/>
      <c r="Q26" s="530"/>
      <c r="R26" s="664"/>
      <c r="S26" s="665"/>
      <c r="T26" s="664"/>
      <c r="U26" s="665"/>
      <c r="V26" s="664"/>
      <c r="W26" s="665"/>
      <c r="X26" s="666"/>
      <c r="Y26" s="336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65"/>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365"/>
      <c r="Z27" s="1263" t="str">
        <f t="shared" ref="Z27:Z40" si="13">Q27</f>
        <v>临街状况</v>
      </c>
      <c r="AA27" s="1263">
        <f t="shared" si="3"/>
        <v>1</v>
      </c>
      <c r="AB27" s="1263">
        <f t="shared" si="4"/>
        <v>1</v>
      </c>
      <c r="AC27" s="1263">
        <f t="shared" si="5"/>
        <v>1</v>
      </c>
    </row>
    <row r="28" spans="1:29" ht="28.5">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65"/>
      <c r="Q28" s="1262" t="str">
        <f t="shared" si="8"/>
        <v>毗邻道路的类型与等级</v>
      </c>
      <c r="R28" s="667" t="s">
        <v>14</v>
      </c>
      <c r="S28" s="668">
        <f t="shared" si="10"/>
        <v>100</v>
      </c>
      <c r="T28" s="667" t="s">
        <v>14</v>
      </c>
      <c r="U28" s="668">
        <f t="shared" si="11"/>
        <v>100</v>
      </c>
      <c r="V28" s="667" t="s">
        <v>14</v>
      </c>
      <c r="W28" s="668">
        <f t="shared" si="12"/>
        <v>100</v>
      </c>
      <c r="X28" s="1264"/>
      <c r="Y28" s="3365"/>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1"/>
      <c r="M29" s="2486"/>
      <c r="N29" s="2486"/>
      <c r="O29" s="2541"/>
      <c r="P29" s="3365"/>
      <c r="Q29" s="1262"/>
      <c r="R29" s="667"/>
      <c r="S29" s="668"/>
      <c r="T29" s="667"/>
      <c r="U29" s="668"/>
      <c r="V29" s="667"/>
      <c r="W29" s="668"/>
      <c r="X29" s="1264"/>
      <c r="Y29" s="3365"/>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65"/>
      <c r="Q30" s="1262" t="str">
        <f t="shared" si="8"/>
        <v>土地级别</v>
      </c>
      <c r="R30" s="667" t="s">
        <v>14</v>
      </c>
      <c r="S30" s="668">
        <f t="shared" si="10"/>
        <v>100</v>
      </c>
      <c r="T30" s="667" t="s">
        <v>14</v>
      </c>
      <c r="U30" s="668">
        <f t="shared" si="11"/>
        <v>100</v>
      </c>
      <c r="V30" s="667" t="s">
        <v>14</v>
      </c>
      <c r="W30" s="668">
        <f t="shared" si="12"/>
        <v>100</v>
      </c>
      <c r="X30" s="1264"/>
      <c r="Y30" s="3365"/>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65"/>
      <c r="Q31" s="1262">
        <f t="shared" si="8"/>
        <v>111</v>
      </c>
      <c r="R31" s="667" t="s">
        <v>14</v>
      </c>
      <c r="S31" s="668">
        <f t="shared" si="10"/>
        <v>100</v>
      </c>
      <c r="T31" s="667" t="s">
        <v>14</v>
      </c>
      <c r="U31" s="668">
        <f t="shared" si="11"/>
        <v>100</v>
      </c>
      <c r="V31" s="667" t="s">
        <v>14</v>
      </c>
      <c r="W31" s="668">
        <f t="shared" si="12"/>
        <v>100</v>
      </c>
      <c r="X31" s="1264"/>
      <c r="Y31" s="3365"/>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366" t="s">
        <v>1696</v>
      </c>
      <c r="Q32" s="1262">
        <f t="shared" si="8"/>
        <v>111</v>
      </c>
      <c r="R32" s="667" t="s">
        <v>14</v>
      </c>
      <c r="S32" s="668">
        <f t="shared" si="10"/>
        <v>100</v>
      </c>
      <c r="T32" s="667" t="s">
        <v>14</v>
      </c>
      <c r="U32" s="668">
        <f t="shared" si="11"/>
        <v>100</v>
      </c>
      <c r="V32" s="667" t="s">
        <v>14</v>
      </c>
      <c r="W32" s="668">
        <f t="shared" si="12"/>
        <v>100</v>
      </c>
      <c r="X32" s="1264"/>
      <c r="Y32" s="3367" t="s">
        <v>1696</v>
      </c>
      <c r="Z32" s="1263">
        <f t="shared" si="13"/>
        <v>111</v>
      </c>
      <c r="AA32" s="1263">
        <f t="shared" si="3"/>
        <v>1</v>
      </c>
      <c r="AB32" s="1263">
        <f t="shared" si="4"/>
        <v>1</v>
      </c>
      <c r="AC32" s="1263">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67"/>
      <c r="Q33" s="1262">
        <f t="shared" si="8"/>
        <v>111</v>
      </c>
      <c r="R33" s="669" t="s">
        <v>14</v>
      </c>
      <c r="S33" s="670">
        <f t="shared" si="10"/>
        <v>100</v>
      </c>
      <c r="T33" s="669" t="s">
        <v>14</v>
      </c>
      <c r="U33" s="670">
        <f t="shared" si="11"/>
        <v>100</v>
      </c>
      <c r="V33" s="669" t="s">
        <v>14</v>
      </c>
      <c r="W33" s="670">
        <f t="shared" si="12"/>
        <v>100</v>
      </c>
      <c r="X33" s="671"/>
      <c r="Y33" s="3367"/>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67"/>
      <c r="Q34" s="1262" t="str">
        <f>B34</f>
        <v>宗地面积</v>
      </c>
      <c r="R34" s="667" t="s">
        <v>14</v>
      </c>
      <c r="S34" s="668" t="e">
        <f t="shared" si="10"/>
        <v>#N/A</v>
      </c>
      <c r="T34" s="667" t="s">
        <v>14</v>
      </c>
      <c r="U34" s="668" t="e">
        <f t="shared" si="11"/>
        <v>#N/A</v>
      </c>
      <c r="V34" s="667" t="s">
        <v>14</v>
      </c>
      <c r="W34" s="668" t="e">
        <f t="shared" si="12"/>
        <v>#N/A</v>
      </c>
      <c r="X34" s="1264"/>
      <c r="Y34" s="3367"/>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1"/>
      <c r="M35" s="2486"/>
      <c r="N35" s="2486"/>
      <c r="O35" s="2541"/>
      <c r="P35" s="3367"/>
      <c r="Q35" s="1262" t="str">
        <f t="shared" ref="Q35:Q40" si="14">B35</f>
        <v>宗地形状</v>
      </c>
      <c r="R35" s="667" t="s">
        <v>14</v>
      </c>
      <c r="S35" s="668">
        <f t="shared" si="10"/>
        <v>100</v>
      </c>
      <c r="T35" s="667" t="s">
        <v>14</v>
      </c>
      <c r="U35" s="668">
        <f t="shared" si="11"/>
        <v>100</v>
      </c>
      <c r="V35" s="667" t="s">
        <v>14</v>
      </c>
      <c r="W35" s="668">
        <f t="shared" si="12"/>
        <v>100</v>
      </c>
      <c r="X35" s="1264"/>
      <c r="Y35" s="3367"/>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7"/>
      <c r="M36" s="2439"/>
      <c r="N36" s="2439"/>
      <c r="O36" s="2539"/>
      <c r="P36" s="3367"/>
      <c r="Q36" s="1262" t="str">
        <f t="shared" si="14"/>
        <v>宗地开发程度</v>
      </c>
      <c r="R36" s="664" t="s">
        <v>14</v>
      </c>
      <c r="S36" s="665">
        <f t="shared" si="10"/>
        <v>100</v>
      </c>
      <c r="T36" s="664" t="s">
        <v>14</v>
      </c>
      <c r="U36" s="665">
        <f t="shared" si="11"/>
        <v>100</v>
      </c>
      <c r="V36" s="664" t="s">
        <v>14</v>
      </c>
      <c r="W36" s="665">
        <f t="shared" si="12"/>
        <v>100</v>
      </c>
      <c r="X36" s="666"/>
      <c r="Y36" s="3367"/>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1"/>
      <c r="M37" s="2486"/>
      <c r="N37" s="2486"/>
      <c r="O37" s="2541"/>
      <c r="P37" s="3367" t="s">
        <v>1696</v>
      </c>
      <c r="Q37" s="1262" t="str">
        <f t="shared" si="14"/>
        <v>工程地质条件</v>
      </c>
      <c r="R37" s="667" t="s">
        <v>14</v>
      </c>
      <c r="S37" s="668">
        <f t="shared" si="10"/>
        <v>100</v>
      </c>
      <c r="T37" s="667" t="s">
        <v>14</v>
      </c>
      <c r="U37" s="668">
        <f t="shared" si="11"/>
        <v>100</v>
      </c>
      <c r="V37" s="667" t="s">
        <v>14</v>
      </c>
      <c r="W37" s="668">
        <f t="shared" si="12"/>
        <v>100</v>
      </c>
      <c r="X37" s="1264"/>
      <c r="Y37" s="3367"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67"/>
      <c r="Q38" s="1262">
        <f t="shared" si="14"/>
        <v>111</v>
      </c>
      <c r="R38" s="667" t="s">
        <v>14</v>
      </c>
      <c r="S38" s="668">
        <f t="shared" si="10"/>
        <v>100</v>
      </c>
      <c r="T38" s="667" t="s">
        <v>14</v>
      </c>
      <c r="U38" s="668">
        <f t="shared" si="11"/>
        <v>100</v>
      </c>
      <c r="V38" s="667" t="s">
        <v>14</v>
      </c>
      <c r="W38" s="668">
        <f t="shared" si="12"/>
        <v>100</v>
      </c>
      <c r="X38" s="1264"/>
      <c r="Y38" s="3367"/>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67"/>
      <c r="Q39" s="1262">
        <f t="shared" si="14"/>
        <v>111</v>
      </c>
      <c r="R39" s="667" t="s">
        <v>14</v>
      </c>
      <c r="S39" s="668">
        <f t="shared" si="10"/>
        <v>100</v>
      </c>
      <c r="T39" s="667" t="s">
        <v>14</v>
      </c>
      <c r="U39" s="668">
        <f t="shared" si="11"/>
        <v>100</v>
      </c>
      <c r="V39" s="667" t="s">
        <v>14</v>
      </c>
      <c r="W39" s="668">
        <f t="shared" si="12"/>
        <v>100</v>
      </c>
      <c r="X39" s="1264"/>
      <c r="Y39" s="3367"/>
      <c r="Z39" s="1263">
        <f t="shared" si="13"/>
        <v>111</v>
      </c>
      <c r="AA39" s="1263">
        <f t="shared" si="3"/>
        <v>1</v>
      </c>
      <c r="AB39" s="1263">
        <f t="shared" si="4"/>
        <v>1</v>
      </c>
      <c r="AC39" s="1263">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67"/>
      <c r="Q40" s="1262">
        <f t="shared" si="14"/>
        <v>111</v>
      </c>
      <c r="R40" s="669" t="s">
        <v>14</v>
      </c>
      <c r="S40" s="670">
        <f t="shared" si="10"/>
        <v>100</v>
      </c>
      <c r="T40" s="669" t="s">
        <v>14</v>
      </c>
      <c r="U40" s="670">
        <f t="shared" si="11"/>
        <v>100</v>
      </c>
      <c r="V40" s="669" t="s">
        <v>14</v>
      </c>
      <c r="W40" s="670">
        <f t="shared" si="12"/>
        <v>100</v>
      </c>
      <c r="X40" s="671"/>
      <c r="Y40" s="3367"/>
      <c r="Z40" s="672">
        <f t="shared" si="13"/>
        <v>111</v>
      </c>
      <c r="AA40" s="1263">
        <f t="shared" si="3"/>
        <v>1</v>
      </c>
      <c r="AB40" s="1263">
        <f t="shared" si="4"/>
        <v>1</v>
      </c>
      <c r="AC40" s="1263">
        <f t="shared" si="5"/>
        <v>1</v>
      </c>
    </row>
    <row r="41" spans="1:31" ht="15">
      <c r="A41" s="416" t="s">
        <v>1844</v>
      </c>
      <c r="B41" s="1829" t="s">
        <v>1922</v>
      </c>
      <c r="C41" s="602" t="s">
        <v>0</v>
      </c>
      <c r="D41" s="418"/>
      <c r="E41" s="419"/>
      <c r="F41" s="420"/>
      <c r="G41" s="421"/>
      <c r="H41" s="422"/>
      <c r="I41" s="419"/>
      <c r="J41" s="422"/>
      <c r="K41" s="674"/>
      <c r="L41" s="2493"/>
      <c r="M41" s="2486"/>
      <c r="N41" s="2486"/>
      <c r="O41" s="2486"/>
      <c r="P41" s="3349" t="str">
        <f>A41</f>
        <v>成交单价</v>
      </c>
      <c r="Q41" s="3349"/>
      <c r="R41" s="3362">
        <f>E41</f>
        <v>0</v>
      </c>
      <c r="S41" s="3362"/>
      <c r="T41" s="3362">
        <f>G41</f>
        <v>0</v>
      </c>
      <c r="U41" s="3362"/>
      <c r="V41" s="3362">
        <f>I41</f>
        <v>0</v>
      </c>
      <c r="W41" s="3362"/>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3"/>
      <c r="M42" s="2486"/>
      <c r="N42" s="2486"/>
      <c r="O42" s="2486"/>
      <c r="P42" s="3349" t="str">
        <f>A42</f>
        <v>比较价值（元/平方米）</v>
      </c>
      <c r="Q42" s="3349"/>
      <c r="R42" s="3368" t="e">
        <f>ROUND(PRODUCT(R41,AA7:AA40),0)</f>
        <v>#DIV/0!</v>
      </c>
      <c r="S42" s="3368"/>
      <c r="T42" s="3368" t="e">
        <f>ROUND(PRODUCT(T41,AB7:AB40),0)</f>
        <v>#DIV/0!</v>
      </c>
      <c r="U42" s="3368"/>
      <c r="V42" s="3368" t="e">
        <f>ROUND(PRODUCT(V41,AC7:AC40),0)</f>
        <v>#DIV/0!</v>
      </c>
      <c r="W42" s="3368"/>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369" t="str">
        <f>A43</f>
        <v>估价对象XX用房的比较价值（楼面单价，元/平方米）</v>
      </c>
      <c r="Q43" s="3370"/>
      <c r="R43" s="3371" t="e">
        <f>ROUND(IF(D42="简单平均",AVERAGE(R42:W42),R42*F42+T42*H42+V42*J42),0)</f>
        <v>#DIV/0!</v>
      </c>
      <c r="S43" s="3371"/>
      <c r="T43" s="3371"/>
      <c r="U43" s="3371"/>
      <c r="V43" s="3371"/>
      <c r="W43" s="3371"/>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30" t="s">
        <v>1883</v>
      </c>
      <c r="D50" s="1831" t="s">
        <v>1884</v>
      </c>
      <c r="E50" s="606" t="s">
        <v>1885</v>
      </c>
      <c r="F50" s="607" t="s">
        <v>1886</v>
      </c>
      <c r="G50" s="3350" t="s">
        <v>1887</v>
      </c>
      <c r="H50" s="3372"/>
      <c r="I50" s="1263" t="s">
        <v>1923</v>
      </c>
      <c r="J50" s="1263">
        <f>项目基本情况!F35</f>
        <v>0</v>
      </c>
      <c r="K50" s="1833"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2375.33</v>
      </c>
      <c r="F51" s="611" t="e">
        <f t="shared" ref="F51:F60" si="15">ROUND(B51*E51/10000,0)</f>
        <v>#DIV/0!</v>
      </c>
      <c r="G51" s="3373"/>
      <c r="H51" s="3349"/>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2024-9-1</v>
      </c>
      <c r="D63" s="656">
        <f>EDATE(C63,-3)</f>
        <v>45444</v>
      </c>
      <c r="E63" s="656">
        <f>EDATE(D63,-3)</f>
        <v>45352</v>
      </c>
      <c r="F63" s="656">
        <f t="shared" ref="F63:O63" si="18">EDATE(E63,-3)</f>
        <v>45261</v>
      </c>
      <c r="G63" s="656">
        <f t="shared" si="18"/>
        <v>45170</v>
      </c>
      <c r="H63" s="656">
        <f t="shared" si="18"/>
        <v>45078</v>
      </c>
      <c r="I63" s="656">
        <f t="shared" si="18"/>
        <v>44986</v>
      </c>
      <c r="J63" s="656">
        <f t="shared" si="18"/>
        <v>44896</v>
      </c>
      <c r="K63" s="656">
        <f t="shared" si="18"/>
        <v>44805</v>
      </c>
      <c r="L63" s="656">
        <f t="shared" si="18"/>
        <v>44713</v>
      </c>
      <c r="M63" s="656">
        <f t="shared" si="18"/>
        <v>44621</v>
      </c>
      <c r="N63" s="656">
        <f t="shared" si="18"/>
        <v>44531</v>
      </c>
      <c r="O63" s="656">
        <f t="shared" si="18"/>
        <v>44440</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29" t="s">
        <v>1904</v>
      </c>
      <c r="B65" s="1046"/>
      <c r="C65" s="1100" t="str">
        <f>YEAR(C63)&amp;"-"&amp;ROUNDUP(MONTH(C63)/3,0)</f>
        <v>2024-3</v>
      </c>
      <c r="D65" s="1100" t="str">
        <f t="shared" ref="D65:O65" si="19">YEAR(D63)&amp;"-"&amp;ROUNDUP(MONTH(D63)/3,0)</f>
        <v>2024-2</v>
      </c>
      <c r="E65" s="1100" t="str">
        <f t="shared" si="19"/>
        <v>2024-1</v>
      </c>
      <c r="F65" s="1100" t="str">
        <f t="shared" si="19"/>
        <v>2023-4</v>
      </c>
      <c r="G65" s="1100" t="str">
        <f t="shared" si="19"/>
        <v>2023-3</v>
      </c>
      <c r="H65" s="1100" t="str">
        <f t="shared" si="19"/>
        <v>2023-2</v>
      </c>
      <c r="I65" s="1100" t="str">
        <f t="shared" si="19"/>
        <v>2023-1</v>
      </c>
      <c r="J65" s="1100" t="str">
        <f t="shared" si="19"/>
        <v>2022-4</v>
      </c>
      <c r="K65" s="1100" t="str">
        <f t="shared" si="19"/>
        <v>2022-3</v>
      </c>
      <c r="L65" s="1100" t="str">
        <f t="shared" si="19"/>
        <v>2022-2</v>
      </c>
      <c r="M65" s="1100" t="str">
        <f t="shared" si="19"/>
        <v>2022-1</v>
      </c>
      <c r="N65" s="1100" t="str">
        <f t="shared" si="19"/>
        <v>2021-4</v>
      </c>
      <c r="O65" s="1100" t="str">
        <f t="shared" si="19"/>
        <v>2021-3</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8"/>
      <c r="P66" s="2507"/>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3" t="s">
        <v>2084</v>
      </c>
      <c r="D1" s="3434"/>
      <c r="E1" s="3434"/>
      <c r="F1" s="3434"/>
      <c r="G1" s="3434"/>
      <c r="H1" s="3434"/>
      <c r="I1" s="3434"/>
      <c r="J1" s="3434"/>
      <c r="K1" s="3434"/>
      <c r="L1" s="3434"/>
      <c r="M1" s="3434"/>
      <c r="N1" s="3434"/>
      <c r="O1" s="3434"/>
      <c r="P1" s="3434"/>
      <c r="Q1" s="3434"/>
      <c r="R1" s="3434"/>
      <c r="S1" s="3435"/>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2"/>
      <c r="F19" s="1252"/>
      <c r="G19" s="1252"/>
      <c r="H19" s="996"/>
      <c r="I19" s="151"/>
      <c r="J19" s="151"/>
      <c r="K19" s="151"/>
      <c r="L19" s="151"/>
      <c r="M19" s="151"/>
      <c r="N19" s="151"/>
      <c r="O19" s="151"/>
      <c r="P19" s="151"/>
      <c r="Q19" s="151"/>
      <c r="R19" s="151"/>
      <c r="S19" s="121"/>
    </row>
    <row r="20" spans="1:45" ht="16.5" thickBot="1">
      <c r="A20" s="632" t="s">
        <v>2096</v>
      </c>
      <c r="B20" s="286" t="e">
        <f ca="1">IF(D20="——",S22,S22-F20)</f>
        <v>#REF!</v>
      </c>
      <c r="C20" s="151"/>
      <c r="D20" s="1988"/>
      <c r="E20" s="1253"/>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0" t="s">
        <v>27</v>
      </c>
      <c r="D22" s="3431"/>
      <c r="E22" s="3431"/>
      <c r="F22" s="3431"/>
      <c r="G22" s="3431"/>
      <c r="H22" s="3431"/>
      <c r="I22" s="3431"/>
      <c r="J22" s="3431"/>
      <c r="K22" s="3431"/>
      <c r="L22" s="3431"/>
      <c r="M22" s="3431"/>
      <c r="N22" s="3431"/>
      <c r="O22" s="3431"/>
      <c r="P22" s="3431"/>
      <c r="Q22" s="343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3"/>
      <c r="G1" s="2543"/>
      <c r="H1" s="2543"/>
      <c r="I1" s="2543"/>
      <c r="J1" s="2543"/>
      <c r="K1" s="2543"/>
      <c r="L1" s="2543"/>
      <c r="M1" s="2543"/>
      <c r="N1" s="2543"/>
      <c r="O1" s="2543"/>
      <c r="P1" s="2543"/>
    </row>
    <row r="2" spans="1:16" ht="15.75">
      <c r="A2" s="1983" t="s">
        <v>2073</v>
      </c>
      <c r="B2" s="2387" t="e">
        <f ca="1">SUMIF(B6:B13,"&lt;&gt;#ref!",B6:B13)</f>
        <v>#DIV/0!</v>
      </c>
      <c r="C2" s="1983" t="s">
        <v>2074</v>
      </c>
      <c r="D2" s="1983" t="s">
        <v>2075</v>
      </c>
      <c r="E2" s="2397">
        <f ca="1">SUMIF(E6:E13,"&lt;&gt;#ref!",E6:E13)</f>
        <v>0</v>
      </c>
      <c r="F2" s="2543"/>
      <c r="G2" s="2543"/>
      <c r="H2" s="2543"/>
      <c r="I2" s="2543"/>
      <c r="J2" s="2543"/>
      <c r="K2" s="2543"/>
      <c r="L2" s="2543"/>
      <c r="M2" s="2543"/>
      <c r="N2" s="2543"/>
      <c r="O2" s="2543"/>
      <c r="P2" s="2543"/>
    </row>
    <row r="3" spans="1:16" ht="15.75">
      <c r="A3" s="1983" t="s">
        <v>2076</v>
      </c>
      <c r="B3" s="2387" t="e">
        <f ca="1">ROUND(B2*10000/E2,0)</f>
        <v>#DIV/0!</v>
      </c>
      <c r="C3" s="1983"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3" t="s">
        <v>2077</v>
      </c>
      <c r="B5" s="2395" t="s">
        <v>2078</v>
      </c>
      <c r="C5" s="1984"/>
      <c r="D5" s="2543"/>
      <c r="E5" s="2396" t="s">
        <v>2079</v>
      </c>
      <c r="F5" s="2543"/>
      <c r="G5" s="2543"/>
      <c r="H5" s="2543"/>
      <c r="I5" s="2543"/>
      <c r="J5" s="2543"/>
      <c r="K5" s="2543"/>
      <c r="L5" s="2543"/>
      <c r="M5" s="2543"/>
      <c r="N5" s="2543"/>
      <c r="O5" s="2543"/>
      <c r="P5" s="2543"/>
    </row>
    <row r="6" spans="1:16" ht="15.75">
      <c r="A6" s="2394" t="s">
        <v>2080</v>
      </c>
      <c r="B6" s="2387" t="e">
        <f ca="1">SUMIF(INDIRECT("'"&amp;A6&amp;"'"&amp;"!A:A"),"总价",INDIRECT("'"&amp;A6&amp;"'"&amp;"!B:B"))</f>
        <v>#DIV/0!</v>
      </c>
      <c r="C6" s="1983" t="s">
        <v>2074</v>
      </c>
      <c r="D6" s="2543"/>
      <c r="E6" s="2397" t="e">
        <f ca="1">SUMIF(INDIRECT("'"&amp;A6&amp;"'"&amp;"!C:C"),"建筑面积",INDIRECT("'"&amp;A6&amp;"'"&amp;"!D:D"))</f>
        <v>#REF!</v>
      </c>
      <c r="F6" s="2543"/>
      <c r="G6" s="2543"/>
      <c r="H6" s="2543"/>
      <c r="I6" s="2543"/>
      <c r="J6" s="2543"/>
      <c r="K6" s="2543"/>
      <c r="L6" s="2543"/>
      <c r="M6" s="2543"/>
      <c r="N6" s="2543"/>
      <c r="O6" s="2543"/>
      <c r="P6" s="2543"/>
    </row>
    <row r="7" spans="1:16" ht="15.75">
      <c r="A7" s="2394"/>
      <c r="B7" s="2387" t="e">
        <f ca="1">SUMIF(INDIRECT("'"&amp;A7&amp;"'"&amp;"!A:A"),"总价",INDIRECT("'"&amp;A7&amp;"'"&amp;"!B:B"))</f>
        <v>#REF!</v>
      </c>
      <c r="C7" s="1983"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75">
      <c r="A8" s="2394"/>
      <c r="B8" s="2387" t="e">
        <f t="shared" ref="B8:B13" ca="1" si="1">SUMIF(INDIRECT("'"&amp;A8&amp;"'"&amp;"!A:A"),"总价",INDIRECT("'"&amp;A8&amp;"'"&amp;"!B:B"))</f>
        <v>#REF!</v>
      </c>
      <c r="C8" s="1983" t="s">
        <v>2074</v>
      </c>
      <c r="D8" s="2543"/>
      <c r="E8" s="2397" t="e">
        <f t="shared" ca="1" si="0"/>
        <v>#REF!</v>
      </c>
      <c r="F8" s="2543"/>
      <c r="G8" s="2543"/>
      <c r="H8" s="2543"/>
      <c r="I8" s="2543"/>
      <c r="J8" s="2543"/>
      <c r="K8" s="2543"/>
      <c r="L8" s="2543"/>
      <c r="M8" s="2543"/>
      <c r="N8" s="2543"/>
      <c r="O8" s="2543"/>
      <c r="P8" s="2543"/>
    </row>
    <row r="9" spans="1:16" ht="15.75">
      <c r="A9" s="2394"/>
      <c r="B9" s="2387" t="e">
        <f t="shared" ca="1" si="1"/>
        <v>#REF!</v>
      </c>
      <c r="C9" s="1983" t="s">
        <v>2074</v>
      </c>
      <c r="D9" s="2543"/>
      <c r="E9" s="2397" t="e">
        <f t="shared" ca="1" si="0"/>
        <v>#REF!</v>
      </c>
      <c r="F9" s="2543"/>
      <c r="G9" s="2543"/>
      <c r="H9" s="2543"/>
      <c r="I9" s="2543"/>
      <c r="J9" s="2543"/>
      <c r="K9" s="2543"/>
      <c r="L9" s="2543"/>
      <c r="M9" s="2543"/>
      <c r="N9" s="2543"/>
      <c r="O9" s="2543"/>
      <c r="P9" s="2543"/>
    </row>
    <row r="10" spans="1:16" ht="15.75">
      <c r="A10" s="2394"/>
      <c r="B10" s="2387" t="e">
        <f t="shared" ca="1" si="1"/>
        <v>#REF!</v>
      </c>
      <c r="C10" s="1983" t="s">
        <v>2074</v>
      </c>
      <c r="D10" s="2543"/>
      <c r="E10" s="2397" t="e">
        <f t="shared" ca="1" si="0"/>
        <v>#REF!</v>
      </c>
      <c r="F10" s="2543"/>
      <c r="G10" s="2543"/>
      <c r="H10" s="2543"/>
      <c r="I10" s="2543"/>
      <c r="J10" s="2543"/>
      <c r="K10" s="2543"/>
      <c r="L10" s="2543"/>
      <c r="M10" s="2543"/>
      <c r="N10" s="2543"/>
      <c r="O10" s="2543"/>
      <c r="P10" s="2543"/>
    </row>
    <row r="11" spans="1:16" ht="15.75">
      <c r="A11" s="2394"/>
      <c r="B11" s="2387" t="e">
        <f t="shared" ca="1" si="1"/>
        <v>#REF!</v>
      </c>
      <c r="C11" s="1983" t="s">
        <v>2074</v>
      </c>
      <c r="D11" s="2543"/>
      <c r="E11" s="2397" t="e">
        <f t="shared" ca="1" si="0"/>
        <v>#REF!</v>
      </c>
      <c r="F11" s="2543"/>
      <c r="G11" s="2543"/>
      <c r="H11" s="2543"/>
      <c r="I11" s="2543"/>
      <c r="J11" s="2543"/>
      <c r="K11" s="2543"/>
      <c r="L11" s="2543"/>
      <c r="M11" s="2543"/>
      <c r="N11" s="2543"/>
      <c r="O11" s="2543"/>
      <c r="P11" s="2543"/>
    </row>
    <row r="12" spans="1:16" ht="15.75">
      <c r="A12" s="2394"/>
      <c r="B12" s="2387" t="e">
        <f t="shared" ca="1" si="1"/>
        <v>#REF!</v>
      </c>
      <c r="C12" s="1983" t="s">
        <v>2074</v>
      </c>
      <c r="D12" s="2543"/>
      <c r="E12" s="2397" t="e">
        <f t="shared" ca="1" si="0"/>
        <v>#REF!</v>
      </c>
      <c r="F12" s="2543"/>
      <c r="G12" s="2543"/>
      <c r="H12" s="2543"/>
      <c r="I12" s="2543"/>
      <c r="J12" s="2543"/>
      <c r="K12" s="2543"/>
      <c r="L12" s="2543"/>
      <c r="M12" s="2543"/>
      <c r="N12" s="2543"/>
      <c r="O12" s="2543"/>
      <c r="P12" s="2543"/>
    </row>
    <row r="13" spans="1:16" ht="15.75">
      <c r="A13" s="2394"/>
      <c r="B13" s="2387" t="e">
        <f t="shared" ca="1" si="1"/>
        <v>#REF!</v>
      </c>
      <c r="C13" s="1983"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43" t="s">
        <v>2607</v>
      </c>
      <c r="B20" s="3436" t="s">
        <v>2628</v>
      </c>
      <c r="C20" s="2841" t="s">
        <v>2439</v>
      </c>
      <c r="D20" s="2842"/>
      <c r="E20" s="2843">
        <v>1</v>
      </c>
      <c r="F20" s="2844" t="s">
        <v>2440</v>
      </c>
      <c r="G20" s="2844"/>
    </row>
    <row r="21" spans="1:13" ht="19.5" customHeight="1">
      <c r="A21" s="3444"/>
      <c r="B21" s="3437"/>
      <c r="C21" s="2845" t="s">
        <v>2441</v>
      </c>
      <c r="D21" s="2846"/>
      <c r="E21" s="2847">
        <v>1</v>
      </c>
      <c r="F21" s="2844" t="s">
        <v>2442</v>
      </c>
      <c r="G21" s="2844"/>
    </row>
    <row r="22" spans="1:13" ht="19.5" customHeight="1">
      <c r="A22" s="3444"/>
      <c r="B22" s="3437"/>
      <c r="C22" s="2845" t="s">
        <v>2443</v>
      </c>
      <c r="D22" s="2846"/>
      <c r="E22" s="2847">
        <v>0.9</v>
      </c>
      <c r="F22" s="2844" t="s">
        <v>2444</v>
      </c>
      <c r="G22" s="2844"/>
    </row>
    <row r="23" spans="1:13" ht="19.5" customHeight="1">
      <c r="A23" s="3444"/>
      <c r="B23" s="3437"/>
      <c r="C23" s="2845" t="s">
        <v>2445</v>
      </c>
      <c r="D23" s="2846"/>
      <c r="E23" s="2847">
        <v>0.9</v>
      </c>
      <c r="F23" s="2844" t="s">
        <v>2446</v>
      </c>
      <c r="G23" s="2844"/>
    </row>
    <row r="24" spans="1:13" ht="19.5" customHeight="1">
      <c r="A24" s="3444"/>
      <c r="B24" s="3437"/>
      <c r="C24" s="2845" t="s">
        <v>2447</v>
      </c>
      <c r="D24" s="2846"/>
      <c r="E24" s="2847">
        <v>0.8</v>
      </c>
      <c r="F24" s="2844" t="s">
        <v>2448</v>
      </c>
      <c r="G24" s="2844"/>
    </row>
    <row r="25" spans="1:13" ht="19.5" customHeight="1" thickBot="1">
      <c r="A25" s="3445"/>
      <c r="B25" s="3438"/>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439" t="s">
        <v>2631</v>
      </c>
      <c r="B27" s="3436" t="s">
        <v>2612</v>
      </c>
      <c r="C27" s="2841" t="s">
        <v>2452</v>
      </c>
      <c r="D27" s="2842"/>
      <c r="E27" s="2843">
        <v>1</v>
      </c>
      <c r="F27" s="2844" t="s">
        <v>2453</v>
      </c>
      <c r="G27" s="2844"/>
    </row>
    <row r="28" spans="1:13" ht="19.5" customHeight="1">
      <c r="A28" s="3440"/>
      <c r="B28" s="3437"/>
      <c r="C28" s="2845" t="s">
        <v>2454</v>
      </c>
      <c r="D28" s="2846"/>
      <c r="E28" s="2847">
        <v>1</v>
      </c>
      <c r="F28" s="2844" t="s">
        <v>2455</v>
      </c>
      <c r="G28" s="2844"/>
    </row>
    <row r="29" spans="1:13" ht="19.5" customHeight="1">
      <c r="A29" s="3440"/>
      <c r="B29" s="3437"/>
      <c r="C29" s="2845" t="s">
        <v>2456</v>
      </c>
      <c r="D29" s="2846"/>
      <c r="E29" s="2847">
        <v>0.8</v>
      </c>
      <c r="F29" s="2844" t="s">
        <v>2457</v>
      </c>
      <c r="G29" s="2844"/>
    </row>
    <row r="30" spans="1:13" ht="19.5" customHeight="1">
      <c r="A30" s="3440"/>
      <c r="B30" s="3437"/>
      <c r="C30" s="2845" t="s">
        <v>2458</v>
      </c>
      <c r="D30" s="2846"/>
      <c r="E30" s="2847">
        <v>0.8</v>
      </c>
      <c r="F30" s="2844" t="s">
        <v>2459</v>
      </c>
      <c r="G30" s="2844"/>
    </row>
    <row r="31" spans="1:13" ht="19.5" customHeight="1">
      <c r="A31" s="3440"/>
      <c r="B31" s="3437"/>
      <c r="C31" s="2845" t="s">
        <v>2460</v>
      </c>
      <c r="D31" s="2846"/>
      <c r="E31" s="2847">
        <v>0.8</v>
      </c>
      <c r="F31" s="2844" t="s">
        <v>2461</v>
      </c>
      <c r="G31" s="2844"/>
    </row>
    <row r="32" spans="1:13" ht="19.5" customHeight="1">
      <c r="A32" s="3440"/>
      <c r="B32" s="3437"/>
      <c r="C32" s="2845" t="s">
        <v>2462</v>
      </c>
      <c r="D32" s="2846"/>
      <c r="E32" s="2847">
        <v>0.7</v>
      </c>
      <c r="F32" s="2844" t="s">
        <v>2463</v>
      </c>
      <c r="G32" s="2844"/>
    </row>
    <row r="33" spans="1:7" ht="19.5" customHeight="1">
      <c r="A33" s="3440"/>
      <c r="B33" s="3437"/>
      <c r="C33" s="2845" t="s">
        <v>2464</v>
      </c>
      <c r="D33" s="2846"/>
      <c r="E33" s="2847">
        <v>0.8</v>
      </c>
      <c r="F33" s="2844" t="s">
        <v>2465</v>
      </c>
      <c r="G33" s="2844"/>
    </row>
    <row r="34" spans="1:7" ht="19.5" customHeight="1">
      <c r="A34" s="3440"/>
      <c r="B34" s="3437"/>
      <c r="C34" s="2845" t="s">
        <v>2466</v>
      </c>
      <c r="D34" s="2846"/>
      <c r="E34" s="2847">
        <v>0.6</v>
      </c>
      <c r="F34" s="2844" t="s">
        <v>2467</v>
      </c>
      <c r="G34" s="2844"/>
    </row>
    <row r="35" spans="1:7" ht="19.5" customHeight="1">
      <c r="A35" s="3440"/>
      <c r="B35" s="3437"/>
      <c r="C35" s="2845" t="s">
        <v>2468</v>
      </c>
      <c r="D35" s="2846"/>
      <c r="E35" s="2847">
        <v>0.2</v>
      </c>
      <c r="F35" s="2844" t="s">
        <v>2469</v>
      </c>
      <c r="G35" s="2844"/>
    </row>
    <row r="36" spans="1:7" ht="19.5" customHeight="1">
      <c r="A36" s="3440"/>
      <c r="B36" s="3437"/>
      <c r="C36" s="2845" t="s">
        <v>2470</v>
      </c>
      <c r="D36" s="2846"/>
      <c r="E36" s="2847">
        <v>0.2</v>
      </c>
      <c r="F36" s="2844" t="s">
        <v>2471</v>
      </c>
      <c r="G36" s="2844"/>
    </row>
    <row r="37" spans="1:7" ht="19.5" customHeight="1">
      <c r="A37" s="3440"/>
      <c r="B37" s="3442" t="s">
        <v>2632</v>
      </c>
      <c r="C37" s="2845" t="s">
        <v>2472</v>
      </c>
      <c r="D37" s="2846"/>
      <c r="E37" s="2847">
        <v>0.6</v>
      </c>
      <c r="F37" s="2844" t="s">
        <v>2473</v>
      </c>
      <c r="G37" s="2844"/>
    </row>
    <row r="38" spans="1:7" ht="19.5" customHeight="1">
      <c r="A38" s="3440"/>
      <c r="B38" s="3437"/>
      <c r="C38" s="2845" t="s">
        <v>2474</v>
      </c>
      <c r="D38" s="2846"/>
      <c r="E38" s="2847">
        <v>0.6</v>
      </c>
      <c r="F38" s="2844" t="s">
        <v>2475</v>
      </c>
      <c r="G38" s="2844"/>
    </row>
    <row r="39" spans="1:7" ht="19.5" customHeight="1" thickBot="1">
      <c r="A39" s="3441"/>
      <c r="B39" s="3438"/>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443" t="s">
        <v>2610</v>
      </c>
      <c r="B41" s="3436" t="s">
        <v>2634</v>
      </c>
      <c r="C41" s="2841" t="s">
        <v>2479</v>
      </c>
      <c r="D41" s="2842"/>
      <c r="E41" s="2843">
        <v>1</v>
      </c>
      <c r="F41" s="2844" t="s">
        <v>2480</v>
      </c>
      <c r="G41" s="2844"/>
    </row>
    <row r="42" spans="1:7" ht="19.5" customHeight="1">
      <c r="A42" s="3444"/>
      <c r="B42" s="3437"/>
      <c r="C42" s="2845" t="s">
        <v>2481</v>
      </c>
      <c r="D42" s="2846"/>
      <c r="E42" s="2847">
        <v>1</v>
      </c>
      <c r="F42" s="2844" t="s">
        <v>2482</v>
      </c>
      <c r="G42" s="2844"/>
    </row>
    <row r="43" spans="1:7" ht="19.5" customHeight="1">
      <c r="A43" s="3444"/>
      <c r="B43" s="3446"/>
      <c r="C43" s="2845" t="s">
        <v>2483</v>
      </c>
      <c r="D43" s="2846"/>
      <c r="E43" s="2847">
        <v>1.5</v>
      </c>
      <c r="F43" s="2844" t="s">
        <v>2484</v>
      </c>
      <c r="G43" s="2844"/>
    </row>
    <row r="44" spans="1:7" ht="19.5" customHeight="1">
      <c r="A44" s="3444"/>
      <c r="B44" s="2856" t="s">
        <v>2635</v>
      </c>
      <c r="C44" s="2845" t="s">
        <v>2636</v>
      </c>
      <c r="D44" s="2846"/>
      <c r="E44" s="2847">
        <v>2</v>
      </c>
      <c r="F44" s="2844" t="s">
        <v>2485</v>
      </c>
      <c r="G44" s="2844"/>
    </row>
    <row r="45" spans="1:7" ht="19.5" customHeight="1">
      <c r="A45" s="3444"/>
      <c r="B45" s="3442" t="s">
        <v>2637</v>
      </c>
      <c r="C45" s="2845" t="s">
        <v>2486</v>
      </c>
      <c r="D45" s="2846"/>
      <c r="E45" s="2847">
        <v>1</v>
      </c>
      <c r="F45" s="2844" t="s">
        <v>2487</v>
      </c>
      <c r="G45" s="2844"/>
    </row>
    <row r="46" spans="1:7" ht="19.5" customHeight="1">
      <c r="A46" s="3444"/>
      <c r="B46" s="3437"/>
      <c r="C46" s="2845" t="s">
        <v>2488</v>
      </c>
      <c r="D46" s="2846"/>
      <c r="E46" s="2847">
        <v>1</v>
      </c>
      <c r="F46" s="2844" t="s">
        <v>2489</v>
      </c>
      <c r="G46" s="2844"/>
    </row>
    <row r="47" spans="1:7" ht="19.5" customHeight="1">
      <c r="A47" s="3444"/>
      <c r="B47" s="3437"/>
      <c r="C47" s="2845" t="s">
        <v>2490</v>
      </c>
      <c r="D47" s="2846"/>
      <c r="E47" s="2847">
        <v>1</v>
      </c>
      <c r="F47" s="2844" t="s">
        <v>2491</v>
      </c>
      <c r="G47" s="2844"/>
    </row>
    <row r="48" spans="1:7" ht="19.5" customHeight="1">
      <c r="A48" s="3444"/>
      <c r="B48" s="3437"/>
      <c r="C48" s="2845" t="s">
        <v>2492</v>
      </c>
      <c r="D48" s="2846"/>
      <c r="E48" s="2847">
        <v>1</v>
      </c>
      <c r="F48" s="2844" t="s">
        <v>2493</v>
      </c>
      <c r="G48" s="2844"/>
    </row>
    <row r="49" spans="1:7" ht="19.5" customHeight="1">
      <c r="A49" s="3444"/>
      <c r="B49" s="3437"/>
      <c r="C49" s="2845" t="s">
        <v>2494</v>
      </c>
      <c r="D49" s="2846"/>
      <c r="E49" s="2847">
        <v>1</v>
      </c>
      <c r="F49" s="2844" t="s">
        <v>2495</v>
      </c>
      <c r="G49" s="2844"/>
    </row>
    <row r="50" spans="1:7" ht="19.5" customHeight="1">
      <c r="A50" s="3444"/>
      <c r="B50" s="3437"/>
      <c r="C50" s="2845" t="s">
        <v>2496</v>
      </c>
      <c r="D50" s="2846"/>
      <c r="E50" s="2847">
        <v>1</v>
      </c>
      <c r="F50" s="2844" t="s">
        <v>2497</v>
      </c>
      <c r="G50" s="2844"/>
    </row>
    <row r="51" spans="1:7" ht="19.5" customHeight="1" thickBot="1">
      <c r="A51" s="3445"/>
      <c r="B51" s="3438"/>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3.5">
      <c r="A72" s="2856"/>
      <c r="B72" s="2856"/>
      <c r="C72" s="2856" t="s">
        <v>2650</v>
      </c>
      <c r="D72" s="2856"/>
      <c r="E72" s="2856" t="s">
        <v>2621</v>
      </c>
      <c r="F72" s="2856" t="s">
        <v>2621</v>
      </c>
    </row>
    <row r="73" spans="1:7" ht="13.5">
      <c r="A73" s="2856">
        <v>1</v>
      </c>
      <c r="B73" s="3442" t="s">
        <v>2651</v>
      </c>
      <c r="C73" s="2830" t="s">
        <v>2652</v>
      </c>
      <c r="D73" s="2830" t="s">
        <v>2653</v>
      </c>
      <c r="E73" s="2856">
        <v>0.2</v>
      </c>
      <c r="F73" s="2856">
        <v>25</v>
      </c>
    </row>
    <row r="74" spans="1:7" ht="24">
      <c r="A74" s="2856">
        <v>2</v>
      </c>
      <c r="B74" s="3437"/>
      <c r="C74" s="2830" t="s">
        <v>2654</v>
      </c>
      <c r="D74" s="2830" t="s">
        <v>2655</v>
      </c>
      <c r="E74" s="2856">
        <v>0.2</v>
      </c>
      <c r="F74" s="2856">
        <v>25</v>
      </c>
    </row>
    <row r="75" spans="1:7" ht="24">
      <c r="A75" s="2856">
        <v>3</v>
      </c>
      <c r="B75" s="3437"/>
      <c r="C75" s="2830" t="s">
        <v>2656</v>
      </c>
      <c r="D75" s="2830" t="s">
        <v>2657</v>
      </c>
      <c r="E75" s="2856">
        <v>0.2</v>
      </c>
      <c r="F75" s="2856">
        <v>25</v>
      </c>
    </row>
    <row r="76" spans="1:7" ht="13.5">
      <c r="A76" s="2856">
        <v>4</v>
      </c>
      <c r="B76" s="3437"/>
      <c r="C76" s="2830" t="s">
        <v>2658</v>
      </c>
      <c r="D76" s="2830" t="s">
        <v>2659</v>
      </c>
      <c r="E76" s="2856">
        <v>0.15</v>
      </c>
      <c r="F76" s="2856">
        <v>20</v>
      </c>
    </row>
    <row r="77" spans="1:7" ht="24">
      <c r="A77" s="2856">
        <v>5</v>
      </c>
      <c r="B77" s="3437"/>
      <c r="C77" s="2830" t="s">
        <v>2660</v>
      </c>
      <c r="D77" s="2830" t="s">
        <v>2661</v>
      </c>
      <c r="E77" s="2856">
        <v>0.15</v>
      </c>
      <c r="F77" s="2856">
        <v>20</v>
      </c>
    </row>
    <row r="78" spans="1:7" ht="24">
      <c r="A78" s="2856">
        <v>6</v>
      </c>
      <c r="B78" s="3437"/>
      <c r="C78" s="2830" t="s">
        <v>2662</v>
      </c>
      <c r="D78" s="2830" t="s">
        <v>2663</v>
      </c>
      <c r="E78" s="2856">
        <v>0.15</v>
      </c>
      <c r="F78" s="2856">
        <v>20</v>
      </c>
    </row>
    <row r="79" spans="1:7" ht="24">
      <c r="A79" s="2856">
        <v>7</v>
      </c>
      <c r="B79" s="3437"/>
      <c r="C79" s="2830" t="s">
        <v>2664</v>
      </c>
      <c r="D79" s="2830" t="s">
        <v>2665</v>
      </c>
      <c r="E79" s="2856">
        <v>0.15</v>
      </c>
      <c r="F79" s="2856">
        <v>20</v>
      </c>
    </row>
    <row r="80" spans="1:7" ht="24">
      <c r="A80" s="2856">
        <v>8</v>
      </c>
      <c r="B80" s="3437"/>
      <c r="C80" s="2830" t="s">
        <v>2666</v>
      </c>
      <c r="D80" s="2830" t="s">
        <v>2667</v>
      </c>
      <c r="E80" s="2856">
        <v>0.1</v>
      </c>
      <c r="F80" s="2856">
        <v>15</v>
      </c>
    </row>
    <row r="81" spans="1:6" ht="24">
      <c r="A81" s="2856">
        <v>9</v>
      </c>
      <c r="B81" s="3437"/>
      <c r="C81" s="2830" t="s">
        <v>2668</v>
      </c>
      <c r="D81" s="2830" t="s">
        <v>2669</v>
      </c>
      <c r="E81" s="2856">
        <v>0.1</v>
      </c>
      <c r="F81" s="2856">
        <v>15</v>
      </c>
    </row>
    <row r="82" spans="1:6" ht="24">
      <c r="A82" s="2856">
        <v>10</v>
      </c>
      <c r="B82" s="3437"/>
      <c r="C82" s="2830" t="s">
        <v>2670</v>
      </c>
      <c r="D82" s="2830" t="s">
        <v>2671</v>
      </c>
      <c r="E82" s="2856">
        <v>0.1</v>
      </c>
      <c r="F82" s="2856">
        <v>15</v>
      </c>
    </row>
    <row r="83" spans="1:6" ht="24">
      <c r="A83" s="2856">
        <v>11</v>
      </c>
      <c r="B83" s="3437"/>
      <c r="C83" s="2830" t="s">
        <v>2672</v>
      </c>
      <c r="D83" s="2830" t="s">
        <v>2673</v>
      </c>
      <c r="E83" s="2856">
        <v>0.1</v>
      </c>
      <c r="F83" s="2856">
        <v>15</v>
      </c>
    </row>
    <row r="84" spans="1:6" ht="24">
      <c r="A84" s="2856">
        <v>12</v>
      </c>
      <c r="B84" s="3437"/>
      <c r="C84" s="2830" t="s">
        <v>2674</v>
      </c>
      <c r="D84" s="2830" t="s">
        <v>2675</v>
      </c>
      <c r="E84" s="2856">
        <v>0.1</v>
      </c>
      <c r="F84" s="2856">
        <v>15</v>
      </c>
    </row>
    <row r="85" spans="1:6" ht="13.5">
      <c r="A85" s="2856">
        <v>13</v>
      </c>
      <c r="B85" s="3437"/>
      <c r="C85" s="2830" t="s">
        <v>2676</v>
      </c>
      <c r="D85" s="2830" t="s">
        <v>2677</v>
      </c>
      <c r="E85" s="2856">
        <v>0.1</v>
      </c>
      <c r="F85" s="2856">
        <v>15</v>
      </c>
    </row>
    <row r="86" spans="1:6" ht="13.5">
      <c r="A86" s="2856">
        <v>14</v>
      </c>
      <c r="B86" s="3437"/>
      <c r="C86" s="2830" t="s">
        <v>2678</v>
      </c>
      <c r="D86" s="2830" t="s">
        <v>2679</v>
      </c>
      <c r="E86" s="2856">
        <v>0.1</v>
      </c>
      <c r="F86" s="2856">
        <v>15</v>
      </c>
    </row>
    <row r="87" spans="1:6" ht="13.5">
      <c r="A87" s="2856">
        <v>15</v>
      </c>
      <c r="B87" s="3437"/>
      <c r="C87" s="2830" t="s">
        <v>2680</v>
      </c>
      <c r="D87" s="2830" t="s">
        <v>2681</v>
      </c>
      <c r="E87" s="2856">
        <v>0.1</v>
      </c>
      <c r="F87" s="2856">
        <v>15</v>
      </c>
    </row>
    <row r="88" spans="1:6" ht="24">
      <c r="A88" s="2856">
        <v>16</v>
      </c>
      <c r="B88" s="3437"/>
      <c r="C88" s="2830" t="s">
        <v>2682</v>
      </c>
      <c r="D88" s="2830" t="s">
        <v>2683</v>
      </c>
      <c r="E88" s="2856">
        <v>0.1</v>
      </c>
      <c r="F88" s="2856">
        <v>15</v>
      </c>
    </row>
    <row r="89" spans="1:6" ht="24">
      <c r="A89" s="2856">
        <v>17</v>
      </c>
      <c r="B89" s="3446"/>
      <c r="C89" s="2830" t="s">
        <v>2684</v>
      </c>
      <c r="D89" s="2830" t="s">
        <v>2685</v>
      </c>
      <c r="E89" s="2856">
        <v>0.1</v>
      </c>
      <c r="F89" s="2856">
        <v>15</v>
      </c>
    </row>
    <row r="90" spans="1:6" ht="13.5">
      <c r="A90" s="2856">
        <v>18</v>
      </c>
      <c r="B90" s="3442" t="s">
        <v>2686</v>
      </c>
      <c r="C90" s="2830" t="s">
        <v>2687</v>
      </c>
      <c r="D90" s="2830" t="s">
        <v>2688</v>
      </c>
      <c r="E90" s="2856">
        <v>0.2</v>
      </c>
      <c r="F90" s="2856">
        <v>25</v>
      </c>
    </row>
    <row r="91" spans="1:6" ht="24">
      <c r="A91" s="2856">
        <v>19</v>
      </c>
      <c r="B91" s="3437"/>
      <c r="C91" s="2830" t="s">
        <v>2689</v>
      </c>
      <c r="D91" s="2830" t="s">
        <v>2690</v>
      </c>
      <c r="E91" s="2856">
        <v>0.2</v>
      </c>
      <c r="F91" s="2856">
        <v>25</v>
      </c>
    </row>
    <row r="92" spans="1:6" ht="13.5">
      <c r="A92" s="2856">
        <v>20</v>
      </c>
      <c r="B92" s="3437"/>
      <c r="C92" s="2830" t="s">
        <v>2691</v>
      </c>
      <c r="D92" s="2830" t="s">
        <v>2692</v>
      </c>
      <c r="E92" s="2856">
        <v>0.15</v>
      </c>
      <c r="F92" s="2856">
        <v>20</v>
      </c>
    </row>
    <row r="93" spans="1:6" ht="13.5">
      <c r="A93" s="2856">
        <v>21</v>
      </c>
      <c r="B93" s="3437"/>
      <c r="C93" s="2830" t="s">
        <v>2693</v>
      </c>
      <c r="D93" s="2830" t="s">
        <v>2694</v>
      </c>
      <c r="E93" s="2856">
        <v>0.15</v>
      </c>
      <c r="F93" s="2856">
        <v>20</v>
      </c>
    </row>
    <row r="94" spans="1:6" ht="13.5">
      <c r="A94" s="2856">
        <v>22</v>
      </c>
      <c r="B94" s="3437"/>
      <c r="C94" s="2830" t="s">
        <v>2695</v>
      </c>
      <c r="D94" s="2830" t="s">
        <v>2696</v>
      </c>
      <c r="E94" s="2856">
        <v>0.15</v>
      </c>
      <c r="F94" s="2856">
        <v>20</v>
      </c>
    </row>
    <row r="95" spans="1:6" ht="36">
      <c r="A95" s="2856">
        <v>23</v>
      </c>
      <c r="B95" s="3437"/>
      <c r="C95" s="2830" t="s">
        <v>2697</v>
      </c>
      <c r="D95" s="2830" t="s">
        <v>2698</v>
      </c>
      <c r="E95" s="2856">
        <v>0.15</v>
      </c>
      <c r="F95" s="2856">
        <v>20</v>
      </c>
    </row>
    <row r="96" spans="1:6" ht="13.5">
      <c r="A96" s="2856">
        <v>24</v>
      </c>
      <c r="B96" s="3437"/>
      <c r="C96" s="2830" t="s">
        <v>2699</v>
      </c>
      <c r="D96" s="2830" t="s">
        <v>2700</v>
      </c>
      <c r="E96" s="2856">
        <v>0.1</v>
      </c>
      <c r="F96" s="2856">
        <v>15</v>
      </c>
    </row>
    <row r="97" spans="1:6" ht="13.5">
      <c r="A97" s="2856">
        <v>25</v>
      </c>
      <c r="B97" s="3437"/>
      <c r="C97" s="2830" t="s">
        <v>2701</v>
      </c>
      <c r="D97" s="2830" t="s">
        <v>2702</v>
      </c>
      <c r="E97" s="2856">
        <v>0.1</v>
      </c>
      <c r="F97" s="2856">
        <v>15</v>
      </c>
    </row>
    <row r="98" spans="1:6" ht="24">
      <c r="A98" s="2856">
        <v>26</v>
      </c>
      <c r="B98" s="3437"/>
      <c r="C98" s="2830" t="s">
        <v>2703</v>
      </c>
      <c r="D98" s="2830" t="s">
        <v>2704</v>
      </c>
      <c r="E98" s="2856">
        <v>0.1</v>
      </c>
      <c r="F98" s="2856">
        <v>15</v>
      </c>
    </row>
    <row r="99" spans="1:6" ht="24">
      <c r="A99" s="2856">
        <v>27</v>
      </c>
      <c r="B99" s="3437"/>
      <c r="C99" s="2830" t="s">
        <v>2705</v>
      </c>
      <c r="D99" s="2830" t="s">
        <v>2706</v>
      </c>
      <c r="E99" s="2856">
        <v>0.1</v>
      </c>
      <c r="F99" s="2856">
        <v>15</v>
      </c>
    </row>
    <row r="100" spans="1:6" ht="13.5">
      <c r="A100" s="2856">
        <v>28</v>
      </c>
      <c r="B100" s="3437"/>
      <c r="C100" s="2830" t="s">
        <v>2707</v>
      </c>
      <c r="D100" s="2830" t="s">
        <v>2708</v>
      </c>
      <c r="E100" s="2856">
        <v>0.1</v>
      </c>
      <c r="F100" s="2856">
        <v>15</v>
      </c>
    </row>
    <row r="101" spans="1:6" ht="13.5">
      <c r="A101" s="2856">
        <v>29</v>
      </c>
      <c r="B101" s="3437"/>
      <c r="C101" s="2830" t="s">
        <v>2709</v>
      </c>
      <c r="D101" s="2830" t="s">
        <v>2710</v>
      </c>
      <c r="E101" s="2856">
        <v>0.1</v>
      </c>
      <c r="F101" s="2856">
        <v>15</v>
      </c>
    </row>
    <row r="102" spans="1:6" ht="13.5">
      <c r="A102" s="2856">
        <v>30</v>
      </c>
      <c r="B102" s="3437"/>
      <c r="C102" s="2830" t="s">
        <v>2711</v>
      </c>
      <c r="D102" s="2830" t="s">
        <v>2712</v>
      </c>
      <c r="E102" s="2856">
        <v>0.1</v>
      </c>
      <c r="F102" s="2856">
        <v>15</v>
      </c>
    </row>
    <row r="103" spans="1:6" ht="24">
      <c r="A103" s="2856">
        <v>31</v>
      </c>
      <c r="B103" s="3437"/>
      <c r="C103" s="2830" t="s">
        <v>2713</v>
      </c>
      <c r="D103" s="2830" t="s">
        <v>2714</v>
      </c>
      <c r="E103" s="2856">
        <v>0.1</v>
      </c>
      <c r="F103" s="2856">
        <v>15</v>
      </c>
    </row>
    <row r="104" spans="1:6" ht="24">
      <c r="A104" s="2856">
        <v>32</v>
      </c>
      <c r="B104" s="3437"/>
      <c r="C104" s="2830" t="s">
        <v>2715</v>
      </c>
      <c r="D104" s="2830" t="s">
        <v>2716</v>
      </c>
      <c r="E104" s="2856">
        <v>0.1</v>
      </c>
      <c r="F104" s="2856">
        <v>15</v>
      </c>
    </row>
    <row r="105" spans="1:6" ht="24">
      <c r="A105" s="2856">
        <v>33</v>
      </c>
      <c r="B105" s="3437"/>
      <c r="C105" s="2830" t="s">
        <v>2717</v>
      </c>
      <c r="D105" s="2830" t="s">
        <v>2718</v>
      </c>
      <c r="E105" s="2856">
        <v>0.1</v>
      </c>
      <c r="F105" s="2856">
        <v>15</v>
      </c>
    </row>
    <row r="106" spans="1:6" ht="24">
      <c r="A106" s="2856">
        <v>34</v>
      </c>
      <c r="B106" s="3446"/>
      <c r="C106" s="2830" t="s">
        <v>2719</v>
      </c>
      <c r="D106" s="2830" t="s">
        <v>2720</v>
      </c>
      <c r="E106" s="2856">
        <v>0.1</v>
      </c>
      <c r="F106" s="2856">
        <v>15</v>
      </c>
    </row>
    <row r="107" spans="1:6" ht="24">
      <c r="A107" s="2856">
        <v>35</v>
      </c>
      <c r="B107" s="3442" t="s">
        <v>2721</v>
      </c>
      <c r="C107" s="2856" t="s">
        <v>2722</v>
      </c>
      <c r="D107" s="2830" t="s">
        <v>2723</v>
      </c>
      <c r="E107" s="2856">
        <v>0.15</v>
      </c>
      <c r="F107" s="2856">
        <v>20</v>
      </c>
    </row>
    <row r="108" spans="1:6" ht="13.5">
      <c r="A108" s="2856">
        <v>36</v>
      </c>
      <c r="B108" s="3437"/>
      <c r="C108" s="2856" t="s">
        <v>2724</v>
      </c>
      <c r="D108" s="2830" t="s">
        <v>2725</v>
      </c>
      <c r="E108" s="2856">
        <v>0.15</v>
      </c>
      <c r="F108" s="2856">
        <v>20</v>
      </c>
    </row>
    <row r="109" spans="1:6" ht="13.5">
      <c r="A109" s="2856">
        <v>37</v>
      </c>
      <c r="B109" s="3437"/>
      <c r="C109" s="2856" t="s">
        <v>2726</v>
      </c>
      <c r="D109" s="2830" t="s">
        <v>2727</v>
      </c>
      <c r="E109" s="2856">
        <v>0.15</v>
      </c>
      <c r="F109" s="2856">
        <v>20</v>
      </c>
    </row>
    <row r="110" spans="1:6" ht="13.5">
      <c r="A110" s="2856">
        <v>38</v>
      </c>
      <c r="B110" s="3437"/>
      <c r="C110" s="2856" t="s">
        <v>2728</v>
      </c>
      <c r="D110" s="2830" t="s">
        <v>2729</v>
      </c>
      <c r="E110" s="2856">
        <v>0.1</v>
      </c>
      <c r="F110" s="2856">
        <v>15</v>
      </c>
    </row>
    <row r="111" spans="1:6" ht="24">
      <c r="A111" s="2856">
        <v>39</v>
      </c>
      <c r="B111" s="3437"/>
      <c r="C111" s="2856" t="s">
        <v>2730</v>
      </c>
      <c r="D111" s="2830" t="s">
        <v>2731</v>
      </c>
      <c r="E111" s="2856">
        <v>0.1</v>
      </c>
      <c r="F111" s="2856">
        <v>15</v>
      </c>
    </row>
    <row r="112" spans="1:6" ht="24">
      <c r="A112" s="2856">
        <v>40</v>
      </c>
      <c r="B112" s="3446"/>
      <c r="C112" s="2856" t="s">
        <v>2732</v>
      </c>
      <c r="D112" s="2830" t="s">
        <v>2733</v>
      </c>
      <c r="E112" s="2856">
        <v>0.1</v>
      </c>
      <c r="F112" s="2856">
        <v>15</v>
      </c>
    </row>
    <row r="113" spans="1:6" ht="13.5">
      <c r="A113" s="2856">
        <v>41</v>
      </c>
      <c r="B113" s="3447" t="s">
        <v>2734</v>
      </c>
      <c r="C113" s="2856" t="s">
        <v>2735</v>
      </c>
      <c r="D113" s="2830" t="s">
        <v>2736</v>
      </c>
      <c r="E113" s="2856">
        <v>0.1</v>
      </c>
      <c r="F113" s="2856">
        <v>15</v>
      </c>
    </row>
    <row r="114" spans="1:6" ht="13.5">
      <c r="A114" s="2856">
        <v>42</v>
      </c>
      <c r="B114" s="3447"/>
      <c r="C114" s="2856" t="s">
        <v>2737</v>
      </c>
      <c r="D114" s="2830" t="s">
        <v>2738</v>
      </c>
      <c r="E114" s="2856">
        <v>0.1</v>
      </c>
      <c r="F114" s="2856">
        <v>15</v>
      </c>
    </row>
    <row r="115" spans="1:6" ht="24">
      <c r="A115" s="2856">
        <v>43</v>
      </c>
      <c r="B115" s="3447"/>
      <c r="C115" s="2856" t="s">
        <v>2739</v>
      </c>
      <c r="D115" s="2830" t="s">
        <v>2740</v>
      </c>
      <c r="E115" s="2856">
        <v>0.1</v>
      </c>
      <c r="F115" s="2856">
        <v>15</v>
      </c>
    </row>
    <row r="116" spans="1:6" ht="13.5">
      <c r="A116" s="2856">
        <v>44</v>
      </c>
      <c r="B116" s="3442" t="s">
        <v>2741</v>
      </c>
      <c r="C116" s="2856" t="s">
        <v>2742</v>
      </c>
      <c r="D116" s="2830" t="s">
        <v>2743</v>
      </c>
      <c r="E116" s="2856">
        <v>0.1</v>
      </c>
      <c r="F116" s="2856">
        <v>15</v>
      </c>
    </row>
    <row r="117" spans="1:6" ht="24">
      <c r="A117" s="2856">
        <v>45</v>
      </c>
      <c r="B117" s="3446"/>
      <c r="C117" s="2830" t="s">
        <v>2744</v>
      </c>
      <c r="D117" s="2830" t="s">
        <v>2745</v>
      </c>
      <c r="E117" s="2856">
        <v>0.1</v>
      </c>
      <c r="F117" s="2856">
        <v>15</v>
      </c>
    </row>
    <row r="118" spans="1:6" ht="24">
      <c r="A118" s="2856">
        <v>46</v>
      </c>
      <c r="B118" s="3442" t="s">
        <v>2746</v>
      </c>
      <c r="C118" s="2856" t="s">
        <v>2747</v>
      </c>
      <c r="D118" s="2830" t="s">
        <v>2748</v>
      </c>
      <c r="E118" s="2856">
        <v>0.1</v>
      </c>
      <c r="F118" s="2856">
        <v>15</v>
      </c>
    </row>
    <row r="119" spans="1:6" ht="24">
      <c r="A119" s="2856">
        <v>47</v>
      </c>
      <c r="B119" s="3446"/>
      <c r="C119" s="2856" t="s">
        <v>2749</v>
      </c>
      <c r="D119" s="2830" t="s">
        <v>2750</v>
      </c>
      <c r="E119" s="2856">
        <v>0.1</v>
      </c>
      <c r="F119" s="2856">
        <v>15</v>
      </c>
    </row>
    <row r="120" spans="1:6" ht="13.5">
      <c r="A120" s="2856">
        <v>48</v>
      </c>
      <c r="B120" s="3442" t="s">
        <v>2751</v>
      </c>
      <c r="C120" s="2856" t="s">
        <v>2752</v>
      </c>
      <c r="D120" s="2830" t="s">
        <v>2753</v>
      </c>
      <c r="E120" s="2856">
        <v>0.1</v>
      </c>
      <c r="F120" s="2856">
        <v>15</v>
      </c>
    </row>
    <row r="121" spans="1:6" ht="13.5">
      <c r="A121" s="2856">
        <v>49</v>
      </c>
      <c r="B121" s="3446"/>
      <c r="C121" s="2856" t="s">
        <v>2754</v>
      </c>
      <c r="D121" s="2830" t="s">
        <v>2755</v>
      </c>
      <c r="E121" s="2856">
        <v>0.1</v>
      </c>
      <c r="F121" s="2856">
        <v>15</v>
      </c>
    </row>
    <row r="122" spans="1:6" ht="24">
      <c r="A122" s="2856">
        <v>50</v>
      </c>
      <c r="B122" s="3447" t="s">
        <v>2756</v>
      </c>
      <c r="C122" s="2856" t="s">
        <v>2757</v>
      </c>
      <c r="D122" s="2830" t="s">
        <v>2758</v>
      </c>
      <c r="E122" s="2856">
        <v>0.1</v>
      </c>
      <c r="F122" s="2856">
        <v>15</v>
      </c>
    </row>
    <row r="123" spans="1:6" ht="24">
      <c r="A123" s="2856">
        <v>51</v>
      </c>
      <c r="B123" s="3447"/>
      <c r="C123" s="2856" t="s">
        <v>2759</v>
      </c>
      <c r="D123" s="2830" t="s">
        <v>2760</v>
      </c>
      <c r="E123" s="2856">
        <v>0.1</v>
      </c>
      <c r="F123" s="2856">
        <v>15</v>
      </c>
    </row>
    <row r="124" spans="1:6" ht="24">
      <c r="A124" s="2856">
        <v>52</v>
      </c>
      <c r="B124" s="3447" t="s">
        <v>2761</v>
      </c>
      <c r="C124" s="2856" t="s">
        <v>2762</v>
      </c>
      <c r="D124" s="2830" t="s">
        <v>2763</v>
      </c>
      <c r="E124" s="2856">
        <v>0.1</v>
      </c>
      <c r="F124" s="2856">
        <v>15</v>
      </c>
    </row>
    <row r="125" spans="1:6" ht="24">
      <c r="A125" s="2856">
        <v>53</v>
      </c>
      <c r="B125" s="3447"/>
      <c r="C125" s="2856" t="s">
        <v>2764</v>
      </c>
      <c r="D125" s="2830" t="s">
        <v>2765</v>
      </c>
      <c r="E125" s="2856">
        <v>0.1</v>
      </c>
      <c r="F125" s="2856">
        <v>15</v>
      </c>
    </row>
    <row r="126" spans="1:6" ht="13.5">
      <c r="A126" s="2856">
        <v>54</v>
      </c>
      <c r="B126" s="2856" t="s">
        <v>2766</v>
      </c>
      <c r="C126" s="2856" t="s">
        <v>2767</v>
      </c>
      <c r="D126" s="2830" t="s">
        <v>2768</v>
      </c>
      <c r="E126" s="2856">
        <v>0.1</v>
      </c>
      <c r="F126" s="2856">
        <v>15</v>
      </c>
    </row>
    <row r="127" spans="1:6" ht="13.5">
      <c r="A127" s="2856">
        <v>55</v>
      </c>
      <c r="B127" s="3447" t="s">
        <v>2769</v>
      </c>
      <c r="C127" s="2856" t="s">
        <v>2770</v>
      </c>
      <c r="D127" s="2830" t="s">
        <v>2771</v>
      </c>
      <c r="E127" s="2856">
        <v>0.1</v>
      </c>
      <c r="F127" s="2856">
        <v>15</v>
      </c>
    </row>
    <row r="128" spans="1:6" ht="13.5">
      <c r="A128" s="2856">
        <v>56</v>
      </c>
      <c r="B128" s="3447"/>
      <c r="C128" s="2856" t="s">
        <v>2772</v>
      </c>
      <c r="D128" s="2830" t="s">
        <v>2773</v>
      </c>
      <c r="E128" s="2856">
        <v>0.1</v>
      </c>
      <c r="F128" s="2856">
        <v>15</v>
      </c>
    </row>
    <row r="129" spans="1:6" ht="24">
      <c r="A129" s="2856">
        <v>57</v>
      </c>
      <c r="B129" s="3447"/>
      <c r="C129" s="2856" t="s">
        <v>2774</v>
      </c>
      <c r="D129" s="2830" t="s">
        <v>2775</v>
      </c>
      <c r="E129" s="2856">
        <v>0.1</v>
      </c>
      <c r="F129" s="2856">
        <v>15</v>
      </c>
    </row>
    <row r="130" spans="1:6" ht="24">
      <c r="A130" s="2856">
        <v>58</v>
      </c>
      <c r="B130" s="3447" t="s">
        <v>2776</v>
      </c>
      <c r="C130" s="2856" t="s">
        <v>2777</v>
      </c>
      <c r="D130" s="2830" t="s">
        <v>2778</v>
      </c>
      <c r="E130" s="2856">
        <v>0.1</v>
      </c>
      <c r="F130" s="2856">
        <v>15</v>
      </c>
    </row>
    <row r="131" spans="1:6" ht="13.5">
      <c r="A131" s="2856">
        <v>59</v>
      </c>
      <c r="B131" s="3447"/>
      <c r="C131" s="2856" t="s">
        <v>2779</v>
      </c>
      <c r="D131" s="2830" t="s">
        <v>2780</v>
      </c>
      <c r="E131" s="2856">
        <v>0.1</v>
      </c>
      <c r="F131" s="2856">
        <v>15</v>
      </c>
    </row>
    <row r="132" spans="1:6" ht="13.5">
      <c r="A132" s="2856">
        <v>60</v>
      </c>
      <c r="B132" s="3442" t="s">
        <v>2781</v>
      </c>
      <c r="C132" s="2856" t="s">
        <v>2782</v>
      </c>
      <c r="D132" s="2830" t="s">
        <v>2783</v>
      </c>
      <c r="E132" s="2856">
        <v>0.1</v>
      </c>
      <c r="F132" s="2856">
        <v>15</v>
      </c>
    </row>
    <row r="133" spans="1:6" ht="13.5">
      <c r="A133" s="2856">
        <v>61</v>
      </c>
      <c r="B133" s="3446"/>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13.5">
      <c r="A135" s="2856">
        <v>63</v>
      </c>
      <c r="B135" s="3447" t="s">
        <v>2789</v>
      </c>
      <c r="C135" s="2856" t="s">
        <v>2790</v>
      </c>
      <c r="D135" s="2830" t="s">
        <v>2791</v>
      </c>
      <c r="E135" s="2856">
        <v>0.1</v>
      </c>
      <c r="F135" s="2856">
        <v>15</v>
      </c>
    </row>
    <row r="136" spans="1:6" ht="13.5">
      <c r="A136" s="2856">
        <v>64</v>
      </c>
      <c r="B136" s="3447"/>
      <c r="C136" s="2856" t="s">
        <v>2792</v>
      </c>
      <c r="D136" s="2830" t="s">
        <v>2793</v>
      </c>
      <c r="E136" s="2856">
        <v>0.1</v>
      </c>
      <c r="F136" s="2856">
        <v>15</v>
      </c>
    </row>
    <row r="137" spans="1:6" ht="13.5">
      <c r="A137" s="2856">
        <v>65</v>
      </c>
      <c r="B137" s="2856" t="s">
        <v>2794</v>
      </c>
      <c r="C137" s="2856" t="s">
        <v>2795</v>
      </c>
      <c r="D137" s="2830" t="s">
        <v>2796</v>
      </c>
      <c r="E137" s="2856">
        <v>0.1</v>
      </c>
      <c r="F137" s="2856">
        <v>15</v>
      </c>
    </row>
    <row r="138" spans="1:6" ht="13.5">
      <c r="A138" s="2856"/>
      <c r="B138" s="2856"/>
      <c r="C138" s="2856"/>
      <c r="D138" s="2856"/>
      <c r="E138" s="2856" t="s">
        <v>2797</v>
      </c>
      <c r="F138" s="2856"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t="e">
        <f>SUMPRODUCT((A95:A184=ROUNDDOWN(基准地价修正!G3,1))*(B94:M94=基准地价修正!G2)*(B95:M184))</f>
        <v>#DIV/0!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t="e">
        <f>SUMPRODUCT((A371:A460=ROUNDDOWN(基准地价修正!G3,1))*(B370:M370=基准地价修正!G2)*(B371:M460))</f>
        <v>#DIV/0!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26666</v>
      </c>
      <c r="C2" s="2" t="s">
        <v>106</v>
      </c>
      <c r="D2" s="191"/>
      <c r="E2" s="191"/>
      <c r="F2" s="191"/>
      <c r="G2" s="191"/>
    </row>
    <row r="3" spans="1:7" s="192" customFormat="1" ht="18" customHeight="1" thickBot="1">
      <c r="A3" s="195" t="s">
        <v>58</v>
      </c>
      <c r="B3" s="196">
        <f ca="1">ROUND(B2*10000/'数据-汇总表'!E3,0)</f>
        <v>112262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48</v>
      </c>
      <c r="D10" s="795">
        <f>'数据-汇总表'!E6</f>
        <v>2375.33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48</v>
      </c>
      <c r="D19" s="204">
        <f>'数据-汇总表'!E3</f>
        <v>2375.33</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699</v>
      </c>
      <c r="D22" s="227">
        <f ca="1">C26</f>
        <v>2.9999999999999997E-4</v>
      </c>
      <c r="E22" s="228" t="s">
        <v>99</v>
      </c>
      <c r="F22" s="229">
        <f ca="1">'数据-取费表'!B40</f>
        <v>3.3500000000000002E-2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690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2</v>
      </c>
      <c r="D24" s="230"/>
      <c r="E24" s="230"/>
      <c r="F24" s="231"/>
      <c r="G24" s="232" t="s">
        <v>82</v>
      </c>
    </row>
    <row r="25" spans="1:7" s="206" customFormat="1" ht="24">
      <c r="A25" s="734" t="s">
        <v>348</v>
      </c>
      <c r="B25" s="207" t="s">
        <v>420</v>
      </c>
      <c r="C25" s="1042">
        <f ca="1">ROUND(IF('数据-取费表'!B22&lt;=1,C20*F22*'数据-取费表'!B23/2,C20*(POWER((1+F22),'数据-取费表'!B23/2)-1)),0)</f>
        <v>7</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2107</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2107</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25804</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796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713</v>
      </c>
      <c r="D34" s="209"/>
      <c r="E34" s="212"/>
      <c r="F34" s="249">
        <f>IF('数据-取费表'!B24=0,1,'数据-取费表'!N16)</f>
        <v>1</v>
      </c>
      <c r="G34" s="211" t="s">
        <v>89</v>
      </c>
    </row>
    <row r="35" spans="1:7" ht="13.5" customHeight="1">
      <c r="A35" s="734" t="s">
        <v>351</v>
      </c>
      <c r="B35" s="207" t="s">
        <v>33</v>
      </c>
      <c r="C35" s="212">
        <f>ROUND(C34*F35,0)</f>
        <v>21</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48</v>
      </c>
      <c r="D37" s="209">
        <f>'数据-汇总表'!E3</f>
        <v>2375.33</v>
      </c>
      <c r="E37" s="241">
        <f>'数据-取费表'!B35</f>
        <v>200</v>
      </c>
      <c r="F37" s="251"/>
      <c r="G37" s="253" t="s">
        <v>92</v>
      </c>
    </row>
    <row r="38" spans="1:7" ht="13.5" customHeight="1">
      <c r="A38" s="734" t="s">
        <v>354</v>
      </c>
      <c r="B38" s="207" t="s">
        <v>36</v>
      </c>
      <c r="C38" s="212">
        <f>ROUND(C34*F38,0)</f>
        <v>14</v>
      </c>
      <c r="D38" s="212"/>
      <c r="E38" s="212"/>
      <c r="F38" s="251">
        <f>'数据-取费表'!B36</f>
        <v>0.02</v>
      </c>
      <c r="G38" s="211" t="s">
        <v>90</v>
      </c>
    </row>
    <row r="39" spans="1:7" s="206" customFormat="1" ht="13.5" customHeight="1">
      <c r="A39" s="731" t="s">
        <v>338</v>
      </c>
      <c r="B39" s="202" t="s">
        <v>77</v>
      </c>
      <c r="C39" s="224">
        <f>ROUND(C33*F20,0)</f>
        <v>16</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13</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13</v>
      </c>
      <c r="D42" s="230"/>
      <c r="E42" s="230"/>
      <c r="F42" s="231"/>
      <c r="G42" s="3374" t="s">
        <v>94</v>
      </c>
    </row>
    <row r="43" spans="1:7" ht="13.5" customHeight="1">
      <c r="A43" s="734" t="s">
        <v>347</v>
      </c>
      <c r="B43" s="207" t="s">
        <v>426</v>
      </c>
      <c r="C43" s="230">
        <f ca="1">ROUND(IF('数据-取费表'!B22&lt;=1,C39*F22*'数据-取费表'!B21/2,C39*(POWER((1+F22),'数据-取费表'!B21/2)-1)),0)</f>
        <v>0</v>
      </c>
      <c r="D43" s="230"/>
      <c r="E43" s="230"/>
      <c r="F43" s="231"/>
      <c r="G43" s="3375"/>
    </row>
    <row r="44" spans="1:7" ht="13.5" customHeight="1">
      <c r="A44" s="734" t="s">
        <v>348</v>
      </c>
      <c r="B44" s="207" t="s">
        <v>428</v>
      </c>
      <c r="C44" s="230">
        <f ca="1">ROUND(IF('数据-取费表'!B22&lt;=1,C40*F22*'数据-取费表'!B21/2,C40*(POWER((1+F22),'数据-取费表'!B21/2)-1)),4)</f>
        <v>2.9999999999999997E-4</v>
      </c>
      <c r="D44" s="230"/>
      <c r="E44" s="230"/>
      <c r="F44" s="231"/>
      <c r="G44" s="3376"/>
    </row>
    <row r="45" spans="1:7" s="206" customFormat="1" ht="13.5" customHeight="1">
      <c r="A45" s="731" t="s">
        <v>341</v>
      </c>
      <c r="B45" s="236" t="s">
        <v>85</v>
      </c>
      <c r="C45" s="237">
        <f>C46</f>
        <v>81</v>
      </c>
      <c r="D45" s="227">
        <f>C47</f>
        <v>2E-3</v>
      </c>
      <c r="E45" s="228" t="s">
        <v>102</v>
      </c>
      <c r="F45" s="238"/>
      <c r="G45" s="239" t="s">
        <v>434</v>
      </c>
    </row>
    <row r="46" spans="1:7" s="206" customFormat="1" ht="13.5" customHeight="1">
      <c r="A46" s="734" t="s">
        <v>349</v>
      </c>
      <c r="B46" s="240" t="s">
        <v>427</v>
      </c>
      <c r="C46" s="241">
        <f>ROUND((C33+C39)*F27,0)</f>
        <v>81</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979</v>
      </c>
      <c r="D49" s="224"/>
      <c r="E49" s="224"/>
      <c r="F49" s="256"/>
      <c r="G49" s="226" t="s">
        <v>435</v>
      </c>
    </row>
    <row r="50" spans="1:7" s="250" customFormat="1" ht="24">
      <c r="A50" s="731" t="s">
        <v>344</v>
      </c>
      <c r="B50" s="202" t="s">
        <v>97</v>
      </c>
      <c r="C50" s="224"/>
      <c r="D50" s="224"/>
      <c r="E50" s="224"/>
      <c r="F50" s="256">
        <f>IF('数据-取费表'!B24=0,'数据-取费表'!N16,1)</f>
        <v>0.88</v>
      </c>
      <c r="G50" s="239" t="s">
        <v>98</v>
      </c>
    </row>
    <row r="51" spans="1:7" ht="16.5" customHeight="1">
      <c r="A51" s="731" t="s">
        <v>345</v>
      </c>
      <c r="B51" s="202" t="s">
        <v>105</v>
      </c>
      <c r="C51" s="224">
        <f ca="1">ROUND(C49*F50,0)</f>
        <v>862</v>
      </c>
      <c r="D51" s="224"/>
      <c r="E51" s="224"/>
      <c r="F51" s="256"/>
      <c r="G51" s="226" t="s">
        <v>37</v>
      </c>
    </row>
    <row r="52" spans="1:7" s="200" customFormat="1" ht="16.5" thickBot="1">
      <c r="A52" s="257" t="s">
        <v>38</v>
      </c>
      <c r="B52" s="258"/>
      <c r="C52" s="259">
        <f ca="1">C31+C51</f>
        <v>26666</v>
      </c>
      <c r="D52" s="258"/>
      <c r="E52" s="258"/>
      <c r="F52" s="258"/>
      <c r="G52" s="260"/>
    </row>
    <row r="55" spans="1:7" ht="15">
      <c r="B55" s="262" t="s">
        <v>39</v>
      </c>
      <c r="C55" s="263"/>
    </row>
    <row r="56" spans="1:7">
      <c r="B56" s="265" t="s">
        <v>40</v>
      </c>
      <c r="C56" s="266">
        <f ca="1">ROUND(C51/C52,3)</f>
        <v>3.2000000000000001E-2</v>
      </c>
    </row>
    <row r="57" spans="1:7">
      <c r="B57" s="265" t="s">
        <v>41</v>
      </c>
      <c r="C57" s="267">
        <f ca="1">1-C56</f>
        <v>0.96799999999999997</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5"/>
      <c r="C2" s="3155"/>
      <c r="D2" s="3155"/>
      <c r="E2" s="3155"/>
    </row>
    <row r="3" spans="1:5" ht="18">
      <c r="A3" s="3156" t="str">
        <f>IF(项目基本情况!B9="房地产市场价值","估价结果一览表（市场价值不需“结果表-1”）","估价结果一览表")</f>
        <v>估价结果一览表</v>
      </c>
      <c r="B3" s="3156"/>
      <c r="C3" s="3156"/>
      <c r="D3" s="3156"/>
      <c r="E3" s="3156"/>
    </row>
    <row r="4" spans="1:5" ht="19.5" thickBot="1">
      <c r="A4" s="1390"/>
      <c r="B4" s="3154" t="s">
        <v>917</v>
      </c>
      <c r="C4" s="3154"/>
      <c r="D4" s="3154"/>
      <c r="E4" s="1390"/>
    </row>
    <row r="5" spans="1:5" ht="16.5" thickTop="1">
      <c r="B5" s="3152" t="s">
        <v>909</v>
      </c>
      <c r="C5" s="1391" t="s">
        <v>910</v>
      </c>
      <c r="D5" s="797">
        <f ca="1">结果表!H101</f>
        <v>1567</v>
      </c>
    </row>
    <row r="6" spans="1:5" ht="15.75">
      <c r="B6" s="3152"/>
      <c r="C6" s="1391" t="s">
        <v>911</v>
      </c>
      <c r="D6" s="797" t="str">
        <f ca="1">NUMBERSTRING(INT(D5*10000),2)&amp;"元整"</f>
        <v>壹仟伍佰陆拾柒万元整</v>
      </c>
    </row>
    <row r="7" spans="1:5" ht="15.75">
      <c r="B7" s="3157"/>
      <c r="C7" s="1392" t="s">
        <v>912</v>
      </c>
      <c r="D7" s="798">
        <f ca="1">结果表!H102</f>
        <v>6597</v>
      </c>
    </row>
    <row r="8" spans="1:5" ht="15.75">
      <c r="B8" s="3158" t="str">
        <f>结果表!E103</f>
        <v>2.估价师知悉的法定优先受偿款</v>
      </c>
      <c r="C8" s="1393" t="s">
        <v>913</v>
      </c>
      <c r="D8" s="798">
        <f>结果表!H103</f>
        <v>0</v>
      </c>
    </row>
    <row r="9" spans="1:5" ht="15.75">
      <c r="B9" s="3160"/>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151" t="str">
        <f>结果表!E107</f>
        <v>3.房地产抵押价值</v>
      </c>
      <c r="C13" s="1396" t="s">
        <v>910</v>
      </c>
      <c r="D13" s="800">
        <f ca="1">结果表!H107</f>
        <v>1567</v>
      </c>
    </row>
    <row r="14" spans="1:5" ht="15.75">
      <c r="B14" s="3152"/>
      <c r="C14" s="1391" t="s">
        <v>911</v>
      </c>
      <c r="D14" s="797" t="str">
        <f ca="1">NUMBERSTRING(INT(D13*10000),2)&amp;"元整"</f>
        <v>壹仟伍佰陆拾柒万元整</v>
      </c>
    </row>
    <row r="15" spans="1:5" ht="15">
      <c r="B15" s="3157"/>
      <c r="C15" s="1392" t="s">
        <v>921</v>
      </c>
      <c r="D15" s="806">
        <f ca="1">结果表!H108</f>
        <v>6597</v>
      </c>
    </row>
    <row r="16" spans="1:5" ht="15">
      <c r="B16" s="3158" t="str">
        <f>结果表!E109</f>
        <v>——</v>
      </c>
      <c r="C16" s="1396" t="s">
        <v>922</v>
      </c>
      <c r="D16" s="1397" t="str">
        <f>结果表!H109</f>
        <v>——</v>
      </c>
    </row>
    <row r="17" spans="1:5" ht="15.75">
      <c r="B17" s="3159"/>
      <c r="C17" s="1391" t="s">
        <v>923</v>
      </c>
      <c r="D17" s="797" t="e">
        <f>NUMBERSTRING(INT(D16*10000),2)&amp;"元整"</f>
        <v>#VALUE!</v>
      </c>
    </row>
    <row r="18" spans="1:5" ht="15">
      <c r="B18" s="3160"/>
      <c r="C18" s="1392" t="s">
        <v>912</v>
      </c>
      <c r="D18" s="806" t="str">
        <f>结果表!H110</f>
        <v>——</v>
      </c>
    </row>
    <row r="19" spans="1:5" ht="15.75">
      <c r="B19" s="3151" t="str">
        <f>结果表!E111</f>
        <v>4.抵押净值</v>
      </c>
      <c r="C19" s="1396" t="s">
        <v>910</v>
      </c>
      <c r="D19" s="798">
        <f ca="1">结果表!H111</f>
        <v>1409</v>
      </c>
    </row>
    <row r="20" spans="1:5" ht="15.75">
      <c r="B20" s="3152"/>
      <c r="C20" s="1391" t="s">
        <v>923</v>
      </c>
      <c r="D20" s="797" t="str">
        <f ca="1">NUMBERSTRING(INT(D19*10000),2)&amp;"元整"</f>
        <v>壹仟肆佰零玖万元整</v>
      </c>
    </row>
    <row r="21" spans="1:5" ht="15.75" thickBot="1">
      <c r="B21" s="3153"/>
      <c r="C21" s="1398" t="s">
        <v>921</v>
      </c>
      <c r="D21" s="807">
        <f ca="1">结果表!H112</f>
        <v>5932</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450" t="s">
        <v>2839</v>
      </c>
      <c r="B1" s="3450"/>
      <c r="C1" s="3450"/>
      <c r="D1" s="3450"/>
      <c r="E1" s="3450"/>
      <c r="F1" s="3450"/>
      <c r="G1" s="3451"/>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448"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 thickBot="1">
      <c r="A4" s="3449"/>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452" t="s">
        <v>3181</v>
      </c>
      <c r="B1" s="3452"/>
    </row>
    <row r="2" spans="1:7" ht="14.25" thickBot="1">
      <c r="A2" s="2967"/>
      <c r="B2" s="2967"/>
    </row>
    <row r="3" spans="1:7" ht="14.25" thickBot="1">
      <c r="A3" s="2967"/>
      <c r="B3" s="2967"/>
      <c r="C3" s="2968" t="s">
        <v>2811</v>
      </c>
      <c r="D3" s="2968" t="s">
        <v>2867</v>
      </c>
      <c r="E3" s="2968" t="s">
        <v>2813</v>
      </c>
      <c r="F3" s="2968" t="s">
        <v>2868</v>
      </c>
      <c r="G3" s="2968" t="s">
        <v>2631</v>
      </c>
    </row>
    <row r="4" spans="1:7" ht="14.2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2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2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2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2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2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2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2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2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2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2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812"/>
  </cols>
  <sheetData>
    <row r="1" spans="1:6">
      <c r="A1" s="3453" t="s">
        <v>3232</v>
      </c>
      <c r="B1" s="3453"/>
      <c r="C1" s="3453"/>
      <c r="D1" s="3453"/>
      <c r="E1" s="3453"/>
      <c r="F1" s="3454"/>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AK122"/>
  <sheetViews>
    <sheetView view="pageBreakPreview" topLeftCell="A19" zoomScaleNormal="80" zoomScaleSheetLayoutView="100" workbookViewId="0">
      <selection activeCell="E40" sqref="E40"/>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1926</v>
      </c>
      <c r="B1" s="189"/>
      <c r="C1" s="193" t="s">
        <v>1927</v>
      </c>
      <c r="D1" s="333" t="e">
        <f>SUM(D33:D34,D37:D42)</f>
        <v>#REF!</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t="e">
        <f>C30</f>
        <v>#DIV/0!</v>
      </c>
      <c r="C2" s="1845" t="s">
        <v>1935</v>
      </c>
      <c r="D2" s="162" t="s">
        <v>1936</v>
      </c>
      <c r="E2" s="3119" t="s">
        <v>21</v>
      </c>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1"/>
      <c r="K2" s="1056"/>
      <c r="L2" s="1846" t="s">
        <v>1939</v>
      </c>
      <c r="M2" s="811">
        <f>SUMPRODUCT((区片价!B10:B29=I2)*(区片价!C3:G3=E2)*(区片价!C10:G29))</f>
        <v>0</v>
      </c>
      <c r="N2" s="813">
        <f>SUMPRODUCT((因素修正幅度!B10:B29=I2)*(因素修正幅度!C3:G3=E2)*(因素修正幅度!C10:G29))</f>
        <v>0</v>
      </c>
      <c r="O2" s="1056"/>
      <c r="P2" s="1056"/>
      <c r="Q2" s="1056"/>
      <c r="R2" s="1128">
        <v>1</v>
      </c>
      <c r="S2" s="3062">
        <f>ROUND(SUMPRODUCT((B106:B110=R2)*(C105:N105=G2)*(C106:N110)),4)</f>
        <v>0</v>
      </c>
      <c r="T2" s="3062" t="e">
        <f t="shared" ref="T2:T16" si="0">ROUND($C$5*$C$22*$C$23*$C$24*S2*$C$28,0)</f>
        <v>#DIV/0!</v>
      </c>
      <c r="U2" s="1129"/>
      <c r="V2" s="3062" t="e">
        <f>ROUND(T2*U2/10000,0)</f>
        <v>#DIV/0!</v>
      </c>
      <c r="W2" s="1132"/>
      <c r="X2" s="1132"/>
      <c r="Y2" s="1132"/>
      <c r="Z2" s="1132"/>
      <c r="AA2" s="1132"/>
      <c r="AB2" s="1132"/>
      <c r="AC2" s="1133"/>
      <c r="AD2" s="1134"/>
      <c r="AE2" s="1134"/>
      <c r="AF2" s="1134"/>
      <c r="AG2" s="1134"/>
      <c r="AH2" s="1134"/>
      <c r="AI2" s="1134"/>
      <c r="AJ2" s="1135"/>
    </row>
    <row r="3" spans="1:36" ht="15.75">
      <c r="A3" s="195" t="s">
        <v>1940</v>
      </c>
      <c r="B3" s="196" t="e">
        <f>ROUND(B2*10000/D1,0)</f>
        <v>#DIV/0!</v>
      </c>
      <c r="C3" s="1845" t="s">
        <v>1941</v>
      </c>
      <c r="D3" s="162" t="s">
        <v>1942</v>
      </c>
      <c r="E3" s="3117" t="s">
        <v>3391</v>
      </c>
      <c r="F3" s="1847" t="s">
        <v>3413</v>
      </c>
      <c r="G3" s="708" t="e">
        <f>IF(F3="宗地容积率",'数据-汇总表'!I4,IF(F3="估价对象容积率",'数据-汇总表'!I6,'数据-汇总表'!I7))</f>
        <v>#DIV/0!</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8">
        <v>2</v>
      </c>
      <c r="S3" s="3062">
        <f>ROUND(SUMPRODUCT((B106:B110=R3)*(C105:N105=G2)*(C106:N110)),4)</f>
        <v>0</v>
      </c>
      <c r="T3" s="3062" t="e">
        <f t="shared" si="0"/>
        <v>#DIV/0!</v>
      </c>
      <c r="U3" s="1129"/>
      <c r="V3" s="3062" t="e">
        <f t="shared" ref="V3:V16" si="1">ROUND(T3*U3/10000,0)</f>
        <v>#DIV/0!</v>
      </c>
      <c r="W3" s="1132"/>
      <c r="X3" s="1132"/>
      <c r="Y3" s="1132"/>
      <c r="Z3" s="1132"/>
      <c r="AA3" s="1132"/>
      <c r="AB3" s="1132"/>
      <c r="AC3" s="1133"/>
      <c r="AD3" s="1134"/>
      <c r="AE3" s="1134"/>
      <c r="AF3" s="1134"/>
      <c r="AG3" s="1134"/>
      <c r="AH3" s="1134"/>
      <c r="AI3" s="1134"/>
      <c r="AJ3" s="1135"/>
    </row>
    <row r="4" spans="1:36" ht="15.75">
      <c r="A4" s="3462"/>
      <c r="B4" s="3463"/>
      <c r="C4" s="3463"/>
      <c r="D4" s="3464"/>
      <c r="E4" s="3464"/>
      <c r="F4" s="3464"/>
      <c r="G4" s="3464"/>
      <c r="H4" s="3464"/>
      <c r="I4" s="3464"/>
      <c r="J4" s="3465"/>
      <c r="K4" s="1056"/>
      <c r="L4" s="1846" t="s">
        <v>1946</v>
      </c>
      <c r="M4" s="811">
        <f>SUMPRODUCT((区片价!B55:B86=I2)*(区片价!C3:G3=E2)*(区片价!C55:G86))</f>
        <v>0</v>
      </c>
      <c r="N4" s="813">
        <f>SUMPRODUCT((因素修正幅度!B55:B86=I2)*(因素修正幅度!C3:G3=E2)*(因素修正幅度!C55:G86))</f>
        <v>0</v>
      </c>
      <c r="O4" s="1056"/>
      <c r="P4" s="1056"/>
      <c r="Q4" s="1056"/>
      <c r="R4" s="1128">
        <v>3</v>
      </c>
      <c r="S4" s="3062">
        <f>ROUND(SUMPRODUCT((B106:B110=R4)*(C105:N105=G2)*(C106:N110)),4)</f>
        <v>0</v>
      </c>
      <c r="T4" s="3062" t="e">
        <f t="shared" si="0"/>
        <v>#DIV/0!</v>
      </c>
      <c r="U4" s="1129"/>
      <c r="V4" s="3062" t="e">
        <f t="shared" si="1"/>
        <v>#DIV/0!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9">
        <f>ROUND(IF(E2="商业",C6*C7*C17+C20,(IF(E2="住宅",C6*C13*C17+C20,IF(E2="办公",C6*C12*C17+C20,C6+C20)))),0)</f>
        <v>0</v>
      </c>
      <c r="D5" s="1251">
        <f>ROUND(C6*C17+C20,0)</f>
        <v>0</v>
      </c>
      <c r="E5" s="1251"/>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8">
        <v>4</v>
      </c>
      <c r="S5" s="3062">
        <f>ROUND(SUMPRODUCT((B106:B110=R5)*(C105:N105=G2)*(C106:N110)),4)</f>
        <v>0</v>
      </c>
      <c r="T5" s="3062" t="e">
        <f t="shared" si="0"/>
        <v>#DIV/0!</v>
      </c>
      <c r="U5" s="1129"/>
      <c r="V5" s="3062" t="e">
        <f t="shared" si="1"/>
        <v>#DIV/0!</v>
      </c>
      <c r="W5" s="1132"/>
      <c r="X5" s="1132"/>
      <c r="Y5" s="1132"/>
      <c r="Z5" s="1132"/>
      <c r="AA5" s="1132"/>
      <c r="AB5" s="1132"/>
      <c r="AC5" s="1854"/>
      <c r="AD5" s="1855"/>
      <c r="AE5" s="1855"/>
      <c r="AF5" s="1855"/>
      <c r="AG5" s="1855"/>
      <c r="AH5" s="1855"/>
      <c r="AI5" s="1855"/>
      <c r="AJ5" s="1856"/>
    </row>
    <row r="6" spans="1:36" ht="15.75" thickBot="1">
      <c r="A6" s="1858" t="s">
        <v>1949</v>
      </c>
      <c r="B6" s="1859" t="s">
        <v>1950</v>
      </c>
      <c r="C6" s="710">
        <f>SUMIF(L1:L12,G2,M1:M12)</f>
        <v>0</v>
      </c>
      <c r="D6" s="1860"/>
      <c r="E6" s="1861"/>
      <c r="F6" s="1861"/>
      <c r="G6" s="1862"/>
      <c r="H6" s="1862"/>
      <c r="I6" s="1862"/>
      <c r="J6" s="1863"/>
      <c r="K6" s="1291"/>
      <c r="L6" s="1846" t="s">
        <v>1951</v>
      </c>
      <c r="M6" s="811">
        <f>SUMPRODUCT((区片价!B127:B189=I2)*(区片价!C3:G3=E2)*(区片价!C127:G189))</f>
        <v>0</v>
      </c>
      <c r="N6" s="813">
        <f>SUMPRODUCT((因素修正幅度!B127:B189=I2)*(因素修正幅度!C3:G3=E2)*(因素修正幅度!C127:G189))</f>
        <v>0</v>
      </c>
      <c r="O6" s="1056"/>
      <c r="P6" s="1056"/>
      <c r="Q6" s="1056"/>
      <c r="R6" s="1128">
        <v>5</v>
      </c>
      <c r="S6" s="3062">
        <f>ROUND(SUMPRODUCT((B106:B110=R6)*(C105:N105=G2)*(C106:N110)),4)</f>
        <v>0</v>
      </c>
      <c r="T6" s="3062" t="e">
        <f t="shared" si="0"/>
        <v>#DIV/0!</v>
      </c>
      <c r="U6" s="1129"/>
      <c r="V6" s="3062" t="e">
        <f t="shared" si="1"/>
        <v>#DIV/0!</v>
      </c>
      <c r="W6" s="1132"/>
      <c r="X6" s="1132"/>
      <c r="Y6" s="1132"/>
      <c r="Z6" s="1132"/>
      <c r="AA6" s="1132"/>
      <c r="AB6" s="1132"/>
      <c r="AC6" s="1854"/>
      <c r="AD6" s="1855"/>
      <c r="AE6" s="1855"/>
      <c r="AF6" s="1855"/>
      <c r="AG6" s="1855"/>
      <c r="AH6" s="1855"/>
      <c r="AI6" s="1855"/>
      <c r="AJ6" s="1856"/>
    </row>
    <row r="7" spans="1:36" ht="24.75" thickBot="1">
      <c r="A7" s="3011" t="s">
        <v>3237</v>
      </c>
      <c r="B7" s="1864" t="s">
        <v>1952</v>
      </c>
      <c r="C7" s="711">
        <f>IF(C8="不临65条商业街",1,ROUND(1+(1.6*E8+1.2*E9+0.8*E10+0.4*E11)*C9,4))</f>
        <v>1</v>
      </c>
      <c r="D7" s="1865" t="s">
        <v>1953</v>
      </c>
      <c r="E7" s="730"/>
      <c r="F7" s="1866"/>
      <c r="G7" s="1867"/>
      <c r="H7" s="1867"/>
      <c r="I7" s="1867"/>
      <c r="J7" s="1868"/>
      <c r="K7" s="1291"/>
      <c r="L7" s="1846" t="s">
        <v>1954</v>
      </c>
      <c r="M7" s="811">
        <f>SUMPRODUCT((区片价!B190:B233=I2)*(区片价!C3:G3=E2)*(区片价!C190:G233))</f>
        <v>0</v>
      </c>
      <c r="N7" s="813">
        <f>SUMPRODUCT((因素修正幅度!B190:B233=I2)*(因素修正幅度!C3:G3=E2)*(因素修正幅度!C190:G233))</f>
        <v>0</v>
      </c>
      <c r="O7" s="1056"/>
      <c r="P7" s="1056"/>
      <c r="Q7" s="1056"/>
      <c r="R7" s="1128">
        <v>6</v>
      </c>
      <c r="S7" s="3116"/>
      <c r="T7" s="3062" t="e">
        <f t="shared" si="0"/>
        <v>#DIV/0!</v>
      </c>
      <c r="U7" s="1129"/>
      <c r="V7" s="3062" t="e">
        <f t="shared" si="1"/>
        <v>#DIV/0!</v>
      </c>
      <c r="W7" s="1266" t="s">
        <v>1955</v>
      </c>
      <c r="X7" s="1130">
        <f>G2</f>
        <v>0</v>
      </c>
      <c r="Y7" s="1130" t="s">
        <v>1956</v>
      </c>
      <c r="Z7" s="1131" t="e">
        <f>G3</f>
        <v>#DIV/0!</v>
      </c>
      <c r="AA7" s="1132"/>
      <c r="AB7" s="1132"/>
      <c r="AC7" s="1133"/>
      <c r="AD7" s="1134"/>
      <c r="AE7" s="1134"/>
      <c r="AF7" s="1134"/>
      <c r="AG7" s="1134"/>
      <c r="AH7" s="1134"/>
      <c r="AI7" s="1134"/>
      <c r="AJ7" s="1135"/>
    </row>
    <row r="8" spans="1:36" ht="25.5">
      <c r="A8" s="3008"/>
      <c r="B8" s="162" t="s">
        <v>1957</v>
      </c>
      <c r="C8" s="1869" t="s">
        <v>3392</v>
      </c>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8">
        <v>7</v>
      </c>
      <c r="S8" s="1129"/>
      <c r="T8" s="3062" t="e">
        <f t="shared" si="0"/>
        <v>#DIV/0!</v>
      </c>
      <c r="U8" s="1129"/>
      <c r="V8" s="3062" t="e">
        <f t="shared" si="1"/>
        <v>#DIV/0!</v>
      </c>
      <c r="W8" s="3459" t="s">
        <v>1960</v>
      </c>
      <c r="X8" s="3460"/>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8"/>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8">
        <v>8</v>
      </c>
      <c r="S9" s="1129"/>
      <c r="T9" s="3062" t="e">
        <f t="shared" si="0"/>
        <v>#DIV/0!</v>
      </c>
      <c r="U9" s="1129"/>
      <c r="V9" s="3062" t="e">
        <f t="shared" si="1"/>
        <v>#DIV/0!</v>
      </c>
      <c r="W9" s="3461"/>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8">
        <v>9</v>
      </c>
      <c r="S10" s="1129"/>
      <c r="T10" s="3062" t="e">
        <f t="shared" si="0"/>
        <v>#DIV/0!</v>
      </c>
      <c r="U10" s="1129"/>
      <c r="V10" s="3062" t="e">
        <f t="shared" si="1"/>
        <v>#DIV/0!</v>
      </c>
      <c r="W10" s="3461"/>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8">
        <v>10</v>
      </c>
      <c r="S11" s="1129"/>
      <c r="T11" s="3062" t="e">
        <f t="shared" si="0"/>
        <v>#DIV/0!</v>
      </c>
      <c r="U11" s="1129"/>
      <c r="V11" s="3062" t="e">
        <f t="shared" si="1"/>
        <v>#DIV/0!</v>
      </c>
      <c r="W11" s="1132"/>
      <c r="X11" s="1132"/>
      <c r="Y11" s="1132"/>
      <c r="Z11" s="1132"/>
      <c r="AA11" s="1132"/>
      <c r="AB11" s="1132"/>
      <c r="AC11" s="1133"/>
      <c r="AD11" s="2552"/>
      <c r="AE11" s="2552"/>
      <c r="AF11" s="2552"/>
      <c r="AG11" s="2552"/>
      <c r="AH11" s="2552"/>
      <c r="AI11" s="2552"/>
      <c r="AJ11" s="2553"/>
    </row>
    <row r="12" spans="1:36" ht="25.5" thickBot="1">
      <c r="A12" s="3011" t="s">
        <v>3238</v>
      </c>
      <c r="B12" s="3012" t="s">
        <v>3239</v>
      </c>
      <c r="C12" s="3013">
        <v>1.05</v>
      </c>
      <c r="D12" s="3014" t="s">
        <v>3240</v>
      </c>
      <c r="E12" s="3015" t="s">
        <v>3241</v>
      </c>
      <c r="F12" s="3016"/>
      <c r="G12" s="3017"/>
      <c r="H12" s="3017"/>
      <c r="I12" s="3017"/>
      <c r="J12" s="3018"/>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8">
        <v>11</v>
      </c>
      <c r="S12" s="1129"/>
      <c r="T12" s="3062" t="e">
        <f t="shared" si="0"/>
        <v>#DIV/0!</v>
      </c>
      <c r="U12" s="1129"/>
      <c r="V12" s="3062" t="e">
        <f t="shared" si="1"/>
        <v>#DIV/0!</v>
      </c>
      <c r="W12" s="1132"/>
      <c r="X12" s="1132"/>
      <c r="Y12" s="1132"/>
      <c r="Z12" s="1132"/>
      <c r="AA12" s="1132"/>
      <c r="AB12" s="1132"/>
      <c r="AC12" s="1133"/>
      <c r="AD12" s="2552"/>
      <c r="AE12" s="2552"/>
      <c r="AF12" s="2552"/>
      <c r="AG12" s="2552"/>
      <c r="AH12" s="2552"/>
      <c r="AI12" s="2552"/>
      <c r="AJ12" s="2553"/>
    </row>
    <row r="13" spans="1:36" ht="15.75" thickBot="1">
      <c r="A13" s="3011" t="s">
        <v>3242</v>
      </c>
      <c r="B13" s="1877" t="s">
        <v>1982</v>
      </c>
      <c r="C13" s="711">
        <f>ROUND(C16*D16*E16*F16*G16*H16*I16*J16,4)</f>
        <v>0</v>
      </c>
      <c r="D13" s="1878" t="s">
        <v>1983</v>
      </c>
      <c r="E13" s="1879"/>
      <c r="F13" s="1879"/>
      <c r="G13" s="1880"/>
      <c r="H13" s="1880"/>
      <c r="I13" s="1880"/>
      <c r="J13" s="1881"/>
      <c r="K13" s="1056"/>
      <c r="L13" s="3"/>
      <c r="M13" s="4"/>
      <c r="N13" s="3009"/>
      <c r="O13" s="1056"/>
      <c r="P13" s="1056"/>
      <c r="Q13" s="1056"/>
      <c r="R13" s="1128">
        <v>12</v>
      </c>
      <c r="S13" s="1129"/>
      <c r="T13" s="3062" t="e">
        <f t="shared" si="0"/>
        <v>#DIV/0!</v>
      </c>
      <c r="U13" s="1129"/>
      <c r="V13" s="3062" t="e">
        <f t="shared" si="1"/>
        <v>#DIV/0!</v>
      </c>
      <c r="W13" s="1132"/>
      <c r="X13" s="1132"/>
      <c r="Y13" s="1132"/>
      <c r="Z13" s="1132"/>
      <c r="AA13" s="1132"/>
      <c r="AB13" s="1132"/>
      <c r="AC13" s="1133"/>
      <c r="AD13" s="2552"/>
      <c r="AE13" s="2552"/>
      <c r="AF13" s="2552"/>
      <c r="AG13" s="2552"/>
      <c r="AH13" s="2552"/>
      <c r="AI13" s="2552"/>
      <c r="AJ13" s="2553"/>
    </row>
    <row r="14" spans="1:36" ht="15">
      <c r="A14" s="3007"/>
      <c r="B14" s="1882" t="s">
        <v>1985</v>
      </c>
      <c r="C14" s="1883" t="s">
        <v>1986</v>
      </c>
      <c r="D14" s="1260" t="s">
        <v>1987</v>
      </c>
      <c r="E14" s="27" t="s">
        <v>1988</v>
      </c>
      <c r="F14" s="3019" t="s">
        <v>3243</v>
      </c>
      <c r="G14" s="3019" t="s">
        <v>3243</v>
      </c>
      <c r="H14" s="3019" t="s">
        <v>3243</v>
      </c>
      <c r="I14" s="3019" t="s">
        <v>3243</v>
      </c>
      <c r="J14" s="3019" t="s">
        <v>3243</v>
      </c>
      <c r="K14" s="1056"/>
      <c r="L14" s="1056"/>
      <c r="M14" s="1056"/>
      <c r="N14" s="1056"/>
      <c r="O14" s="1056"/>
      <c r="P14" s="1056"/>
      <c r="Q14" s="1056"/>
      <c r="R14" s="1128">
        <v>13</v>
      </c>
      <c r="S14" s="1129"/>
      <c r="T14" s="3062" t="e">
        <f t="shared" si="0"/>
        <v>#DIV/0!</v>
      </c>
      <c r="U14" s="1129"/>
      <c r="V14" s="3062" t="e">
        <f t="shared" si="1"/>
        <v>#DIV/0!</v>
      </c>
      <c r="W14" s="1132"/>
      <c r="X14" s="1132"/>
      <c r="Y14" s="1132"/>
      <c r="Z14" s="1132"/>
      <c r="AA14" s="1132"/>
      <c r="AB14" s="1132"/>
      <c r="AC14" s="1133"/>
      <c r="AD14" s="2552"/>
      <c r="AE14" s="2552"/>
      <c r="AF14" s="2552"/>
      <c r="AG14" s="2552"/>
      <c r="AH14" s="2552"/>
      <c r="AI14" s="2552"/>
      <c r="AJ14" s="2553"/>
    </row>
    <row r="15" spans="1:36" ht="15">
      <c r="A15" s="3007"/>
      <c r="B15" s="1884"/>
      <c r="C15" s="1885"/>
      <c r="D15" s="1886"/>
      <c r="E15" s="1887"/>
      <c r="F15" s="1469" t="s">
        <v>3244</v>
      </c>
      <c r="G15" s="1927"/>
      <c r="H15" s="3020"/>
      <c r="I15" s="3021"/>
      <c r="J15" s="3022"/>
      <c r="K15" s="1056"/>
      <c r="L15" s="1056"/>
      <c r="M15" s="1056"/>
      <c r="N15" s="1056"/>
      <c r="O15" s="1056"/>
      <c r="P15" s="1056"/>
      <c r="Q15" s="1056"/>
      <c r="R15" s="1128">
        <v>14</v>
      </c>
      <c r="S15" s="1129"/>
      <c r="T15" s="3062" t="e">
        <f t="shared" si="0"/>
        <v>#DIV/0!</v>
      </c>
      <c r="U15" s="1129"/>
      <c r="V15" s="3062" t="e">
        <f t="shared" si="1"/>
        <v>#DIV/0!</v>
      </c>
      <c r="W15" s="1132"/>
      <c r="X15" s="1132"/>
      <c r="Y15" s="1132"/>
      <c r="Z15" s="1132"/>
      <c r="AA15" s="1132"/>
      <c r="AB15" s="1132"/>
      <c r="AC15" s="1133"/>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6"/>
      <c r="L16" s="1843"/>
      <c r="M16" s="1843"/>
      <c r="N16" s="1843"/>
      <c r="O16" s="1843"/>
      <c r="P16" s="1843"/>
      <c r="Q16" s="1056"/>
      <c r="R16" s="1128">
        <v>15</v>
      </c>
      <c r="S16" s="1129"/>
      <c r="T16" s="3062" t="e">
        <f t="shared" si="0"/>
        <v>#DIV/0!</v>
      </c>
      <c r="U16" s="1129"/>
      <c r="V16" s="3062" t="e">
        <f t="shared" si="1"/>
        <v>#DIV/0!</v>
      </c>
      <c r="W16" s="1132"/>
      <c r="X16" s="1132"/>
      <c r="Y16" s="1132"/>
      <c r="Z16" s="1132"/>
      <c r="AA16" s="1132"/>
      <c r="AB16" s="1132"/>
      <c r="AC16" s="1133"/>
      <c r="AD16" s="2552"/>
      <c r="AE16" s="2552"/>
      <c r="AF16" s="2552"/>
      <c r="AG16" s="2552"/>
      <c r="AH16" s="2552"/>
      <c r="AI16" s="2552"/>
      <c r="AJ16" s="2553"/>
    </row>
    <row r="17" spans="1:37">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7"/>
      <c r="B18" s="2309"/>
      <c r="C18" s="3033"/>
      <c r="D18" s="3028" t="s">
        <v>3248</v>
      </c>
      <c r="E18" s="2356"/>
      <c r="F18" s="3029" t="s">
        <v>3251</v>
      </c>
      <c r="G18" s="3033">
        <f>ROUND(1-(1/(POWER(1+G24,E18))),4)</f>
        <v>0</v>
      </c>
      <c r="H18" s="3029" t="s">
        <v>3253</v>
      </c>
      <c r="I18" s="3033">
        <f>ROUND(1-(1/(POWER(1+G24,J24))),4)</f>
        <v>0.93120000000000003</v>
      </c>
      <c r="J18" s="3038"/>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1"/>
    </row>
    <row r="19" spans="1:37" s="1857" customFormat="1" ht="15" thickBot="1">
      <c r="A19" s="3039"/>
      <c r="B19" s="3040"/>
      <c r="C19" s="3041"/>
      <c r="D19" s="3041" t="s">
        <v>3249</v>
      </c>
      <c r="E19" s="3042"/>
      <c r="F19" s="3043" t="s">
        <v>3252</v>
      </c>
      <c r="G19" s="3042"/>
      <c r="H19" s="3041"/>
      <c r="I19" s="3041"/>
      <c r="J19" s="3044"/>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4"/>
      <c r="AH19" s="1979"/>
      <c r="AI19" s="561"/>
      <c r="AJ19" s="561"/>
      <c r="AK19" s="1898"/>
    </row>
    <row r="20" spans="1:37" s="1857" customFormat="1" ht="14.25">
      <c r="A20" s="3466" t="s">
        <v>3254</v>
      </c>
      <c r="B20" s="159" t="s">
        <v>1994</v>
      </c>
      <c r="C20" s="3030">
        <f>ROUND(IF(F21="与级别开发程度一致",0,(G21-E21)/C21),0)</f>
        <v>0</v>
      </c>
      <c r="D20" s="3045" t="s">
        <v>1998</v>
      </c>
      <c r="E20" s="3046"/>
      <c r="F20" s="3472" t="s">
        <v>1995</v>
      </c>
      <c r="G20" s="3473"/>
      <c r="H20" s="3031" t="s">
        <v>3401</v>
      </c>
      <c r="I20" s="3031" t="s">
        <v>3402</v>
      </c>
      <c r="J20" s="3032" t="s">
        <v>3403</v>
      </c>
      <c r="K20" s="1888" t="s">
        <v>3404</v>
      </c>
      <c r="L20" s="1888" t="s">
        <v>3405</v>
      </c>
      <c r="M20" s="1888" t="s">
        <v>3406</v>
      </c>
      <c r="N20" s="1888" t="s">
        <v>3407</v>
      </c>
      <c r="O20" s="1889"/>
      <c r="P20" s="1843"/>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7" customFormat="1" ht="26.25" thickBot="1">
      <c r="A21" s="3467"/>
      <c r="B21" s="2001" t="s">
        <v>1997</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t="s">
        <v>3415</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7" customFormat="1" ht="15.75" thickBot="1">
      <c r="A22" s="1995" t="s">
        <v>363</v>
      </c>
      <c r="B22" s="1996" t="s">
        <v>2000</v>
      </c>
      <c r="C22" s="1997">
        <f>SUMIF(修正!C20:C51,E3,修正!E20:E51)</f>
        <v>1</v>
      </c>
      <c r="D22" s="1998"/>
      <c r="E22" s="1999"/>
      <c r="F22" s="1999"/>
      <c r="G22" s="1999"/>
      <c r="H22" s="1999"/>
      <c r="I22" s="1999"/>
      <c r="J22" s="2000"/>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1" t="s">
        <v>364</v>
      </c>
      <c r="B23" s="1892"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1.0107999999999999</v>
      </c>
      <c r="D23" s="1895" t="s">
        <v>2002</v>
      </c>
      <c r="E23" s="717">
        <v>44197</v>
      </c>
      <c r="F23" s="1895" t="s">
        <v>2003</v>
      </c>
      <c r="G23" s="718">
        <f>'数据-取费表'!B2</f>
        <v>45544</v>
      </c>
      <c r="H23" s="3047" t="s">
        <v>3256</v>
      </c>
      <c r="I23" s="3048" t="str">
        <f>IF(H23="季度增幅（自定义）",SUMIF(N25:N28,E2,O25:O28),"")</f>
        <v/>
      </c>
      <c r="J23" s="3140" t="s">
        <v>3255</v>
      </c>
      <c r="K23" s="1061"/>
      <c r="L23" s="1896" t="s">
        <v>2004</v>
      </c>
      <c r="M23" s="1240">
        <f>ROUND(SUMIF(地价!B2:G2,E2,地价!B16:G16),0)</f>
        <v>350</v>
      </c>
      <c r="N23" s="1897" t="s">
        <v>2005</v>
      </c>
      <c r="O23" s="719">
        <f>ROUNDDOWN(DATEDIF(E23,G23,"M")/3,0)</f>
        <v>14</v>
      </c>
      <c r="P23" s="1057"/>
      <c r="Q23" s="2551"/>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2006</v>
      </c>
      <c r="C24" s="720" t="e">
        <f>ROUND(POWER(1+G24,J24-I24)*(POWER(1+G24,I24)-1)/(POWER(1+G24,J24)-1),4)</f>
        <v>#DIV/0!</v>
      </c>
      <c r="D24" s="1901" t="s">
        <v>2007</v>
      </c>
      <c r="E24" s="1247">
        <f>存贷款利率!E26/100</f>
        <v>4.3499999999999997E-2</v>
      </c>
      <c r="F24" s="1901" t="s">
        <v>1999</v>
      </c>
      <c r="G24" s="724">
        <f>SUMIF(M30:Q30,E2,M33:Q33)</f>
        <v>5.5E-2</v>
      </c>
      <c r="H24" s="1901" t="s">
        <v>2008</v>
      </c>
      <c r="I24" s="725" t="e">
        <f>SUMIF('数据-取费表'!C6:C15,E2,'数据-取费表'!F6:F15)/COUNTIF('数据-取费表'!C6:C15,E2)</f>
        <v>#DIV/0!</v>
      </c>
      <c r="J24" s="726">
        <f>IF(E2="住宅",70,IF(E2="商业",40,50))</f>
        <v>50</v>
      </c>
      <c r="K24" s="1061"/>
      <c r="L24" s="1902" t="s">
        <v>2009</v>
      </c>
      <c r="M24" s="1241">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6" t="s">
        <v>366</v>
      </c>
      <c r="B25" s="1907" t="s">
        <v>3335</v>
      </c>
      <c r="C25" s="461" t="e">
        <f>IF(B25="容积率修正",IF(G3&lt;10,D26,J26),C27)</f>
        <v>#DIV/0!</v>
      </c>
      <c r="D25" s="1908"/>
      <c r="E25" s="1908"/>
      <c r="F25" s="1908"/>
      <c r="G25" s="1908"/>
      <c r="H25" s="1908"/>
      <c r="I25" s="1908"/>
      <c r="J25" s="1909"/>
      <c r="K25" s="1061"/>
      <c r="L25" s="2551"/>
      <c r="M25" s="2551"/>
      <c r="N25" s="1910"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2014</v>
      </c>
      <c r="B26" s="1911" t="s">
        <v>2015</v>
      </c>
      <c r="C26" s="1911" t="s">
        <v>3257</v>
      </c>
      <c r="D26" s="1262" t="e">
        <f>IF(E26=G26,F26,IF(G3&lt;10,ROUND(F26+(H26-F26)*(G3-E26)/(G26-E26),4),"——"))</f>
        <v>#DIV/0!</v>
      </c>
      <c r="E26" s="708" t="e">
        <f>ROUNDDOWN(G3,1)</f>
        <v>#DIV/0!</v>
      </c>
      <c r="F26" s="1262"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08" t="e">
        <f>ROUNDUP(G3,1)</f>
        <v>#DIV/0!</v>
      </c>
      <c r="H26" s="1262"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911" t="s">
        <v>3258</v>
      </c>
      <c r="J26" s="374" t="e">
        <f>IF(G3&gt;=10,D115,"——")</f>
        <v>#DIV/0!</v>
      </c>
      <c r="K26" s="1061"/>
      <c r="L26" s="2551"/>
      <c r="M26" s="2551"/>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2020</v>
      </c>
      <c r="C28" s="716">
        <f>SUMIF(A47:A101,E2,B47:B101)</f>
        <v>1.0496000000000001</v>
      </c>
      <c r="D28" s="1893"/>
      <c r="E28" s="1918"/>
      <c r="F28" s="1918"/>
      <c r="G28" s="1918"/>
      <c r="H28" s="1918"/>
      <c r="I28" s="1918"/>
      <c r="J28" s="1919"/>
      <c r="K28" s="1061"/>
      <c r="L28" s="2551"/>
      <c r="M28" s="2551"/>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2022</v>
      </c>
      <c r="C29" s="721"/>
      <c r="D29" s="1867"/>
      <c r="E29" s="1867"/>
      <c r="F29" s="1922"/>
      <c r="G29" s="1867"/>
      <c r="H29" s="1867"/>
      <c r="I29" s="1867"/>
      <c r="J29" s="1868"/>
      <c r="K29" s="1056"/>
      <c r="L29" s="1843"/>
      <c r="M29" s="1843"/>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2024</v>
      </c>
      <c r="C30" s="2144" t="e">
        <f>IF(B25="容积率修正",E33+SUM(E37:E42),SUM(V2:V16)+SUM(E37:E42))</f>
        <v>#DIV/0!</v>
      </c>
      <c r="D30" s="1924"/>
      <c r="E30" s="1841"/>
      <c r="F30" s="1925"/>
      <c r="G30" s="1841"/>
      <c r="H30" s="1841"/>
      <c r="I30" s="1841"/>
      <c r="J30" s="1926"/>
      <c r="K30" s="1056"/>
      <c r="L30" s="3054" t="s">
        <v>1936</v>
      </c>
      <c r="M30" s="3055" t="s">
        <v>1990</v>
      </c>
      <c r="N30" s="3055" t="s">
        <v>1991</v>
      </c>
      <c r="O30" s="3055" t="s">
        <v>1992</v>
      </c>
      <c r="P30" s="3055" t="s">
        <v>1993</v>
      </c>
      <c r="Q30" s="3058" t="s">
        <v>3262</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2025</v>
      </c>
      <c r="C31" s="722" t="e">
        <f>E34+SUM(I37:I42)</f>
        <v>#DIV/0!</v>
      </c>
      <c r="D31" s="1928"/>
      <c r="E31" s="1929"/>
      <c r="F31" s="1930"/>
      <c r="G31" s="1929"/>
      <c r="H31" s="1929"/>
      <c r="I31" s="1929"/>
      <c r="J31" s="1931"/>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2030</v>
      </c>
      <c r="C33" s="167" t="e">
        <f>ROUND(C5*C22*C23*C24*C25*C28,0)</f>
        <v>#DIV/0!</v>
      </c>
      <c r="D33" s="1939">
        <f>'数据-汇总表'!F19</f>
        <v>2375.33</v>
      </c>
      <c r="E33" s="727" t="e">
        <f>ROUND(C33*D33/10000,0)</f>
        <v>#DIV/0!</v>
      </c>
      <c r="F33" s="3049" t="s">
        <v>3260</v>
      </c>
      <c r="G33" s="1940"/>
      <c r="H33" s="1940"/>
      <c r="I33" s="1940"/>
      <c r="J33" s="1941"/>
      <c r="K33" s="1056"/>
      <c r="L33" s="3052" t="s">
        <v>3263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t="e">
        <f>ROUND(IF(E2="工业",C33*M42,IF(B25="楼层修正",SUM(V2:V16)*M41*10000/D34,C33*M41)),0)</f>
        <v>#DIV/0!</v>
      </c>
      <c r="D34" s="1944"/>
      <c r="E34" s="727" t="e">
        <f>ROUND(IF(B25="楼层修正",SUM(V2:V16)*M40,C34*D34/10000),0)</f>
        <v>#DIV/0!</v>
      </c>
      <c r="F34" s="1945" t="s">
        <v>2032</v>
      </c>
      <c r="G34" s="1946"/>
      <c r="H34" s="1946"/>
      <c r="I34" s="1946"/>
      <c r="J34" s="1947"/>
      <c r="K34" s="1056"/>
      <c r="L34" s="3052" t="s">
        <v>3264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50" t="s">
        <v>3261</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3265</v>
      </c>
      <c r="L36" s="3141">
        <f ca="1">'数据-取费表'!B40</f>
        <v>3.3500000000000002E-2</v>
      </c>
      <c r="M36" s="2365">
        <f ca="1">ROUND($L$36*(1+M31),3)</f>
        <v>4.2000000000000003E-2</v>
      </c>
      <c r="N36" s="2365">
        <f ca="1">ROUND($L$36*(1+N31),3)</f>
        <v>0.04</v>
      </c>
      <c r="O36" s="2365">
        <f ca="1">ROUND($L$36*(1+O31),3)</f>
        <v>3.9E-2</v>
      </c>
      <c r="P36" s="2365">
        <f ca="1">ROUND($L$36*(1+P31),3)</f>
        <v>3.6999999999999998E-2</v>
      </c>
      <c r="Q36" s="2365">
        <f ca="1">ROUND($L$36*(1+Q31),3)</f>
        <v>3.9E-2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470"/>
      <c r="B37" s="1954" t="s">
        <v>2036</v>
      </c>
      <c r="C37" s="167" t="e">
        <f>ROUND(D5*C22*C23*C24*C28*F37,0)</f>
        <v>#DIV/0!</v>
      </c>
      <c r="D37" s="1939"/>
      <c r="E37" s="163" t="e">
        <f>ROUND(C37*D37/10000,0)</f>
        <v>#DIV/0!</v>
      </c>
      <c r="F37" s="163">
        <f>SUMIF(修正!A57:A68,G2,修正!B57:B68)</f>
        <v>0</v>
      </c>
      <c r="G37" s="163" t="e">
        <f>ROUND(IF(E2="工业",C37*$M$42,C37*$M$41),0)</f>
        <v>#DIV/0!</v>
      </c>
      <c r="H37" s="163">
        <f>D37</f>
        <v>0</v>
      </c>
      <c r="I37" s="163" t="e">
        <f>ROUND(G37*H37/10000,0)</f>
        <v>#DIV/0!</v>
      </c>
      <c r="J37" s="2753"/>
      <c r="K37" s="3060" t="s">
        <v>3266</v>
      </c>
      <c r="L37" s="1963">
        <f ca="1">L36+K38</f>
        <v>3.85E-2</v>
      </c>
      <c r="M37" s="2365">
        <f ca="1">ROUND($L$37*(1+M31),3)</f>
        <v>4.8000000000000001E-2</v>
      </c>
      <c r="N37" s="2365">
        <f t="shared" ref="N37:Q37" ca="1" si="3">ROUND($L$37*(1+N31),3)</f>
        <v>4.5999999999999999E-2</v>
      </c>
      <c r="O37" s="2365">
        <f t="shared" ca="1" si="3"/>
        <v>4.3999999999999997E-2</v>
      </c>
      <c r="P37" s="2365">
        <f t="shared" ca="1" si="3"/>
        <v>4.2000000000000003E-2</v>
      </c>
      <c r="Q37" s="2365">
        <f t="shared" ca="1" si="3"/>
        <v>4.3999999999999997E-2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71"/>
      <c r="B38" s="1883" t="s">
        <v>2037</v>
      </c>
      <c r="C38" s="167" t="e">
        <f>ROUND(D5*C22*C23*C24*C28*F38,0)</f>
        <v>#DIV/0!</v>
      </c>
      <c r="D38" s="1939"/>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471"/>
      <c r="B39" s="1883" t="s">
        <v>3259</v>
      </c>
      <c r="C39" s="167" t="e">
        <f>ROUND(D5*C22*C23*C24*C28*F39,0)</f>
        <v>#DIV/0!</v>
      </c>
      <c r="D39" s="1939"/>
      <c r="E39" s="163" t="e">
        <f t="shared" si="4"/>
        <v>#DIV/0!</v>
      </c>
      <c r="F39" s="163">
        <f>SUMIF(修正!A57:A68,G2,修正!D57:D68)</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t="e">
        <f>ROUND(D5*C22*C23*C24*C28*F40,0)</f>
        <v>#DIV/0!</v>
      </c>
      <c r="D40" s="1939" t="e">
        <f>#REF!+#REF!</f>
        <v>#REF!</v>
      </c>
      <c r="E40" s="163" t="e">
        <f t="shared" si="4"/>
        <v>#DIV/0!</v>
      </c>
      <c r="F40" s="167">
        <f>SUMIF(修正!A57:A68,G2,修正!E57:E68)</f>
        <v>0</v>
      </c>
      <c r="G40" s="163" t="e">
        <f>ROUND(IF(E2="工业",C40*$M$42,C40*$M$41),0)</f>
        <v>#DIV/0!</v>
      </c>
      <c r="H40" s="163" t="e">
        <f t="shared" si="5"/>
        <v>#REF!</v>
      </c>
      <c r="I40" s="163" t="e">
        <f t="shared" si="6"/>
        <v>#DIV/0!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t="e">
        <f>ROUND(D5*C22*C23*C44*C28*F41,0)</f>
        <v>#VALUE!</v>
      </c>
      <c r="D41" s="1939"/>
      <c r="E41" s="163" t="e">
        <f t="shared" si="4"/>
        <v>#VALUE!</v>
      </c>
      <c r="F41" s="167">
        <f>SUMIF(修正!A57:A68,G2,修正!F57:F68)</f>
        <v>0</v>
      </c>
      <c r="G41" s="163" t="e">
        <f>ROUND(IF(E2="工业",C41*$M$42,C41*$M$41),0)</f>
        <v>#VALUE!</v>
      </c>
      <c r="H41" s="163">
        <f t="shared" si="5"/>
        <v>0</v>
      </c>
      <c r="I41" s="163" t="e">
        <f t="shared" si="6"/>
        <v>#VALUE!</v>
      </c>
      <c r="J41" s="939"/>
      <c r="L41" s="3061" t="s">
        <v>3267</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t="e">
        <f>ROUND(D5*C22*C23*C44*C28*F42,0)</f>
        <v>#VALUE!</v>
      </c>
      <c r="D42" s="1944"/>
      <c r="E42" s="179" t="e">
        <f t="shared" si="4"/>
        <v>#VALUE!</v>
      </c>
      <c r="F42" s="723">
        <f>SUMIF(修正!A57:A68,G2,修正!G57:G68)</f>
        <v>0</v>
      </c>
      <c r="G42" s="179" t="e">
        <f>ROUND(IF(E2="工业",C42*$M$42,C42*$M$41),0)</f>
        <v>#VALUE!</v>
      </c>
      <c r="H42" s="179">
        <f t="shared" si="5"/>
        <v>0</v>
      </c>
      <c r="I42" s="179" t="e">
        <f t="shared" si="6"/>
        <v>#VALUE!</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2122</v>
      </c>
      <c r="C44" s="333" t="e">
        <f>ROUND(POWER(1+E44,H44-G44)*(POWER(1+E44,G44)-1)/(POWER(1+E44,H44)-1),4)</f>
        <v>#VALUE!</v>
      </c>
      <c r="D44" s="163" t="s">
        <v>1999</v>
      </c>
      <c r="E44" s="1990">
        <f>G24</f>
        <v>5.5E-2</v>
      </c>
      <c r="F44" s="163" t="s">
        <v>2008</v>
      </c>
      <c r="G44" s="175" t="str">
        <f>项目基本情况!E15</f>
        <v/>
      </c>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6" t="s">
        <v>2043</v>
      </c>
      <c r="B48" s="1967">
        <f>1+E50</f>
        <v>1</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69" t="s">
        <v>2052</v>
      </c>
      <c r="B50" s="1972">
        <f>估价对象房地状况!C4</f>
        <v>0</v>
      </c>
      <c r="C50" s="1886"/>
      <c r="D50" s="1002">
        <f t="shared" ref="D50:D58" si="7">SUMIF($J$49:$N$49,C50,J50:N50)</f>
        <v>0</v>
      </c>
      <c r="E50" s="702">
        <f>ROUND(SUM(D50:D58),4)</f>
        <v>0</v>
      </c>
      <c r="F50" s="1674"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1">
      <c r="A51" s="1969" t="s">
        <v>2053</v>
      </c>
      <c r="B51" s="1261" t="str">
        <f>估价对象房地状况!C18</f>
        <v>估价对象周边道路状况、公共交通通达情况、停车便捷程度，综合评价交通便捷度较好</v>
      </c>
      <c r="C51" s="1886"/>
      <c r="D51" s="1002">
        <f t="shared" si="7"/>
        <v>0</v>
      </c>
      <c r="E51" s="703"/>
      <c r="F51" s="1674"/>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9" t="s">
        <v>3269</v>
      </c>
      <c r="B52" s="1261">
        <f>估价对象房地状况!C19</f>
        <v>0</v>
      </c>
      <c r="C52" s="1886"/>
      <c r="D52" s="1002">
        <f t="shared" si="7"/>
        <v>0</v>
      </c>
      <c r="E52" s="703"/>
      <c r="F52" s="1674"/>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9" t="s">
        <v>2054</v>
      </c>
      <c r="B53" s="1973" t="s">
        <v>2055</v>
      </c>
      <c r="C53" s="1886"/>
      <c r="D53" s="1002">
        <f t="shared" si="7"/>
        <v>0</v>
      </c>
      <c r="E53" s="703"/>
      <c r="F53" s="1674"/>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1">
        <f>估价对象房地状况!C24</f>
        <v>0</v>
      </c>
      <c r="C54" s="1886"/>
      <c r="D54" s="1002">
        <f t="shared" si="7"/>
        <v>0</v>
      </c>
      <c r="E54" s="703"/>
      <c r="F54" s="1674"/>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9" t="s">
        <v>2057</v>
      </c>
      <c r="B55" s="1974" t="s">
        <v>2058</v>
      </c>
      <c r="C55" s="1886"/>
      <c r="D55" s="1002">
        <f t="shared" si="7"/>
        <v>0</v>
      </c>
      <c r="E55" s="703"/>
      <c r="F55" s="1674"/>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5" t="s">
        <v>2059</v>
      </c>
      <c r="B56" s="1239" t="str">
        <f>估价对象房地状况!C21</f>
        <v>估价对象所在区域公共配套设施齐备情况</v>
      </c>
      <c r="C56" s="1886"/>
      <c r="D56" s="1002">
        <f t="shared" si="7"/>
        <v>0</v>
      </c>
      <c r="E56" s="703"/>
      <c r="F56" s="1674"/>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5" t="s">
        <v>2060</v>
      </c>
      <c r="B57" s="1261" t="str">
        <f>估价对象房地状况!C22</f>
        <v>估价对象所在区域基础设施水平</v>
      </c>
      <c r="C57" s="1886"/>
      <c r="D57" s="1002">
        <f t="shared" si="7"/>
        <v>0</v>
      </c>
      <c r="E57" s="703"/>
      <c r="F57" s="1674"/>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6" t="s">
        <v>2061</v>
      </c>
      <c r="B58" s="1977" t="str">
        <f>估价对象房地状况!C20</f>
        <v>区域自然环境：；人文环境；综合评价环境状况一般</v>
      </c>
      <c r="C58" s="1886"/>
      <c r="D58" s="1002">
        <f t="shared" si="7"/>
        <v>0</v>
      </c>
      <c r="E58" s="704"/>
      <c r="F58" s="1674"/>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6" t="s">
        <v>2062</v>
      </c>
      <c r="B59" s="1967">
        <f>1+E61</f>
        <v>1.0496000000000001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9" t="s">
        <v>2064</v>
      </c>
      <c r="B61" s="1972" t="str">
        <f>估价对象房地状况!C17</f>
        <v>估价对象位于XX商圈，周边办公楼项目较多，入驻率高，办公集聚程度较好</v>
      </c>
      <c r="C61" s="1886" t="s">
        <v>3408</v>
      </c>
      <c r="D61" s="1002">
        <f t="shared" ref="D61:D69" si="12">SUMIF($J$60:$N$60,C61,J61:N61)</f>
        <v>1.21E-2</v>
      </c>
      <c r="E61" s="702">
        <f>ROUND(SUM(D61:D69),4)</f>
        <v>4.9599999999999998E-2</v>
      </c>
      <c r="F61" s="1674">
        <f>IF(E2="办公",SUMIF(L1:L12,G2,N1:N12),"——")</f>
        <v>0</v>
      </c>
      <c r="G61" s="1000">
        <v>1.21E-2</v>
      </c>
      <c r="H61" s="1003">
        <f t="shared" ref="H61:H69" si="13">IFERROR(ROUNDDOWN($F$61*I61/2,4),"——")</f>
        <v>0</v>
      </c>
      <c r="I61" s="3067">
        <v>0.25</v>
      </c>
      <c r="J61" s="1001">
        <f t="shared" ref="J61:J69" si="14">K61+$G61</f>
        <v>2.4199999999999999E-2</v>
      </c>
      <c r="K61" s="1001">
        <f t="shared" ref="K61:K69" si="15">$L61+$G61</f>
        <v>1.21E-2</v>
      </c>
      <c r="L61" s="1001">
        <v>0</v>
      </c>
      <c r="M61" s="1001">
        <f t="shared" ref="M61:N69" si="16">L61-$G61</f>
        <v>-1.21E-2</v>
      </c>
      <c r="N61" s="1001">
        <f t="shared" si="16"/>
        <v>-2.4199999999999999E-2</v>
      </c>
      <c r="AA61" s="1057"/>
      <c r="AB61" s="1057"/>
      <c r="AC61" s="1057"/>
      <c r="AD61" s="1057"/>
      <c r="AE61" s="1057"/>
      <c r="AF61" s="1057"/>
      <c r="AG61" s="1057"/>
      <c r="AH61" s="1057"/>
      <c r="AI61" s="1057"/>
      <c r="AJ61" s="1057"/>
      <c r="AK61" s="1057"/>
    </row>
    <row r="62" spans="1:37" s="1056" customFormat="1" ht="51">
      <c r="A62" s="1969" t="s">
        <v>2053</v>
      </c>
      <c r="B62" s="1261" t="str">
        <f>估价对象房地状况!C18</f>
        <v>估价对象周边道路状况、公共交通通达情况、停车便捷程度，综合评价交通便捷度较好</v>
      </c>
      <c r="C62" s="1886" t="s">
        <v>3408</v>
      </c>
      <c r="D62" s="1002">
        <f t="shared" si="12"/>
        <v>1.26E-2</v>
      </c>
      <c r="E62" s="703"/>
      <c r="F62" s="1674"/>
      <c r="G62" s="1000">
        <v>1.26E-2</v>
      </c>
      <c r="H62" s="1003">
        <f t="shared" si="13"/>
        <v>0</v>
      </c>
      <c r="I62" s="3067">
        <v>0.26</v>
      </c>
      <c r="J62" s="1001">
        <f t="shared" si="14"/>
        <v>2.52E-2</v>
      </c>
      <c r="K62" s="1001">
        <f t="shared" si="15"/>
        <v>1.26E-2</v>
      </c>
      <c r="L62" s="1001">
        <v>0</v>
      </c>
      <c r="M62" s="1001">
        <f t="shared" si="16"/>
        <v>-1.26E-2</v>
      </c>
      <c r="N62" s="1001">
        <f t="shared" si="16"/>
        <v>-2.52E-2</v>
      </c>
      <c r="AA62" s="1057"/>
      <c r="AB62" s="1057"/>
      <c r="AC62" s="1057"/>
      <c r="AD62" s="1057"/>
      <c r="AE62" s="1057"/>
      <c r="AF62" s="1057"/>
      <c r="AG62" s="1057"/>
      <c r="AH62" s="1057"/>
      <c r="AI62" s="1057"/>
      <c r="AJ62" s="1057"/>
      <c r="AK62" s="1057"/>
    </row>
    <row r="63" spans="1:37" s="1056" customFormat="1" ht="36">
      <c r="A63" s="3069" t="s">
        <v>3269</v>
      </c>
      <c r="B63" s="1261">
        <f>估价对象房地状况!C19</f>
        <v>0</v>
      </c>
      <c r="C63" s="1886" t="s">
        <v>3408</v>
      </c>
      <c r="D63" s="1002">
        <f t="shared" si="12"/>
        <v>5.3E-3</v>
      </c>
      <c r="E63" s="703"/>
      <c r="F63" s="1674"/>
      <c r="G63" s="1000">
        <v>5.3E-3</v>
      </c>
      <c r="H63" s="1003">
        <f t="shared" si="13"/>
        <v>0</v>
      </c>
      <c r="I63" s="3067">
        <v>0.11</v>
      </c>
      <c r="J63" s="1001">
        <f t="shared" si="14"/>
        <v>1.06E-2</v>
      </c>
      <c r="K63" s="1001">
        <f t="shared" si="15"/>
        <v>5.3E-3</v>
      </c>
      <c r="L63" s="1001">
        <v>0</v>
      </c>
      <c r="M63" s="1001">
        <f t="shared" si="16"/>
        <v>-5.3E-3</v>
      </c>
      <c r="N63" s="1001">
        <f t="shared" si="16"/>
        <v>-1.06E-2</v>
      </c>
      <c r="AA63" s="1057"/>
      <c r="AB63" s="1057"/>
      <c r="AC63" s="1057"/>
      <c r="AD63" s="1057"/>
      <c r="AE63" s="1057"/>
      <c r="AF63" s="1057"/>
      <c r="AG63" s="1057"/>
      <c r="AH63" s="1057"/>
      <c r="AI63" s="1057"/>
      <c r="AJ63" s="1057"/>
      <c r="AK63" s="1057"/>
    </row>
    <row r="64" spans="1:37" s="1056" customFormat="1" ht="36.75">
      <c r="A64" s="1969" t="s">
        <v>2054</v>
      </c>
      <c r="B64" s="1973" t="s">
        <v>2055</v>
      </c>
      <c r="C64" s="1886" t="s">
        <v>3408</v>
      </c>
      <c r="D64" s="1002">
        <f t="shared" si="12"/>
        <v>2.3999999999999998E-3</v>
      </c>
      <c r="E64" s="703"/>
      <c r="F64" s="1674"/>
      <c r="G64" s="1000">
        <v>2.3999999999999998E-3</v>
      </c>
      <c r="H64" s="1003">
        <f t="shared" si="13"/>
        <v>0</v>
      </c>
      <c r="I64" s="3067">
        <v>0.05</v>
      </c>
      <c r="J64" s="1001">
        <f t="shared" si="14"/>
        <v>4.7999999999999996E-3</v>
      </c>
      <c r="K64" s="1001">
        <f t="shared" si="15"/>
        <v>2.3999999999999998E-3</v>
      </c>
      <c r="L64" s="1001">
        <v>0</v>
      </c>
      <c r="M64" s="1001">
        <f t="shared" si="16"/>
        <v>-2.3999999999999998E-3</v>
      </c>
      <c r="N64" s="1001">
        <f t="shared" si="16"/>
        <v>-4.7999999999999996E-3</v>
      </c>
      <c r="AA64" s="1057"/>
      <c r="AB64" s="1057"/>
      <c r="AC64" s="1057"/>
      <c r="AD64" s="1057"/>
      <c r="AE64" s="1057"/>
      <c r="AF64" s="1057"/>
      <c r="AG64" s="1057"/>
      <c r="AH64" s="1057"/>
      <c r="AI64" s="1057"/>
      <c r="AJ64" s="1057"/>
      <c r="AK64" s="1057"/>
    </row>
    <row r="65" spans="1:37" s="1056" customFormat="1" ht="24">
      <c r="A65" s="1969" t="s">
        <v>2056</v>
      </c>
      <c r="B65" s="1261">
        <f>估价对象房地状况!C24</f>
        <v>0</v>
      </c>
      <c r="C65" s="1886" t="s">
        <v>3408</v>
      </c>
      <c r="D65" s="1002">
        <f t="shared" si="12"/>
        <v>2.3999999999999998E-3</v>
      </c>
      <c r="E65" s="703"/>
      <c r="F65" s="1674"/>
      <c r="G65" s="1000">
        <v>2.3999999999999998E-3</v>
      </c>
      <c r="H65" s="1003">
        <f t="shared" si="13"/>
        <v>0</v>
      </c>
      <c r="I65" s="3067">
        <v>0.05</v>
      </c>
      <c r="J65" s="1001">
        <f t="shared" si="14"/>
        <v>4.7999999999999996E-3</v>
      </c>
      <c r="K65" s="1001">
        <f t="shared" si="15"/>
        <v>2.3999999999999998E-3</v>
      </c>
      <c r="L65" s="1001">
        <v>0</v>
      </c>
      <c r="M65" s="1001">
        <f t="shared" si="16"/>
        <v>-2.3999999999999998E-3</v>
      </c>
      <c r="N65" s="1001">
        <f t="shared" si="16"/>
        <v>-4.7999999999999996E-3</v>
      </c>
      <c r="AA65" s="1057"/>
      <c r="AB65" s="1057"/>
      <c r="AC65" s="1057"/>
      <c r="AD65" s="1057"/>
      <c r="AE65" s="1057"/>
      <c r="AF65" s="1057"/>
      <c r="AG65" s="1057"/>
      <c r="AH65" s="1057"/>
      <c r="AI65" s="1057"/>
      <c r="AJ65" s="1057"/>
      <c r="AK65" s="1057"/>
    </row>
    <row r="66" spans="1:37" s="1056" customFormat="1" ht="24">
      <c r="A66" s="1969" t="s">
        <v>2057</v>
      </c>
      <c r="B66" s="1974" t="s">
        <v>2058</v>
      </c>
      <c r="C66" s="1886" t="s">
        <v>3409</v>
      </c>
      <c r="D66" s="1002">
        <f t="shared" si="12"/>
        <v>0</v>
      </c>
      <c r="E66" s="703"/>
      <c r="F66" s="1674"/>
      <c r="G66" s="1000">
        <v>2.8999999999999998E-3</v>
      </c>
      <c r="H66" s="1003">
        <f t="shared" si="13"/>
        <v>0</v>
      </c>
      <c r="I66" s="3067">
        <v>0.06</v>
      </c>
      <c r="J66" s="1001">
        <f t="shared" si="14"/>
        <v>5.7999999999999996E-3</v>
      </c>
      <c r="K66" s="1001">
        <f t="shared" si="15"/>
        <v>2.8999999999999998E-3</v>
      </c>
      <c r="L66" s="1001">
        <v>0</v>
      </c>
      <c r="M66" s="1001">
        <f t="shared" si="16"/>
        <v>-2.8999999999999998E-3</v>
      </c>
      <c r="N66" s="1001">
        <f t="shared" si="16"/>
        <v>-5.7999999999999996E-3</v>
      </c>
      <c r="AA66" s="1057"/>
      <c r="AB66" s="1057"/>
      <c r="AC66" s="1057"/>
      <c r="AD66" s="1057"/>
      <c r="AE66" s="1057"/>
      <c r="AF66" s="1057"/>
      <c r="AG66" s="1057"/>
      <c r="AH66" s="1057"/>
      <c r="AI66" s="1057"/>
      <c r="AJ66" s="1057"/>
      <c r="AK66" s="1057"/>
    </row>
    <row r="67" spans="1:37" s="1056" customFormat="1" ht="25.5">
      <c r="A67" s="1969" t="s">
        <v>2059</v>
      </c>
      <c r="B67" s="1239" t="str">
        <f>估价对象房地状况!C21</f>
        <v>估价对象所在区域公共配套设施齐备情况</v>
      </c>
      <c r="C67" s="1886" t="s">
        <v>3408</v>
      </c>
      <c r="D67" s="1002">
        <f t="shared" si="12"/>
        <v>2.8999999999999998E-3</v>
      </c>
      <c r="E67" s="703"/>
      <c r="F67" s="1674"/>
      <c r="G67" s="1000">
        <v>2.8999999999999998E-3</v>
      </c>
      <c r="H67" s="1003">
        <f t="shared" si="13"/>
        <v>0</v>
      </c>
      <c r="I67" s="3067">
        <v>0.06</v>
      </c>
      <c r="J67" s="1001">
        <f t="shared" si="14"/>
        <v>5.7999999999999996E-3</v>
      </c>
      <c r="K67" s="1001">
        <f t="shared" si="15"/>
        <v>2.8999999999999998E-3</v>
      </c>
      <c r="L67" s="1001">
        <v>0</v>
      </c>
      <c r="M67" s="1001">
        <f t="shared" si="16"/>
        <v>-2.8999999999999998E-3</v>
      </c>
      <c r="N67" s="1001">
        <f t="shared" si="16"/>
        <v>-5.7999999999999996E-3</v>
      </c>
      <c r="AA67" s="1057"/>
      <c r="AB67" s="1057"/>
      <c r="AC67" s="1057"/>
      <c r="AD67" s="1057"/>
      <c r="AE67" s="1057"/>
      <c r="AF67" s="1057"/>
      <c r="AG67" s="1057"/>
      <c r="AH67" s="1057"/>
      <c r="AI67" s="1057"/>
      <c r="AJ67" s="1057"/>
      <c r="AK67" s="1057"/>
    </row>
    <row r="68" spans="1:37" s="1056" customFormat="1" ht="25.5">
      <c r="A68" s="1969" t="s">
        <v>2060</v>
      </c>
      <c r="B68" s="1239" t="str">
        <f>估价对象房地状况!C22</f>
        <v>估价对象所在区域基础设施水平</v>
      </c>
      <c r="C68" s="3143" t="s">
        <v>3414</v>
      </c>
      <c r="D68" s="1002">
        <f t="shared" si="12"/>
        <v>8.6E-3</v>
      </c>
      <c r="E68" s="703"/>
      <c r="F68" s="1674"/>
      <c r="G68" s="1000">
        <v>4.3E-3</v>
      </c>
      <c r="H68" s="1003">
        <f t="shared" si="13"/>
        <v>0</v>
      </c>
      <c r="I68" s="3067">
        <v>0.09</v>
      </c>
      <c r="J68" s="1001">
        <f t="shared" si="14"/>
        <v>8.6E-3</v>
      </c>
      <c r="K68" s="1001">
        <f t="shared" si="15"/>
        <v>4.3E-3</v>
      </c>
      <c r="L68" s="1001">
        <v>0</v>
      </c>
      <c r="M68" s="1001">
        <f t="shared" si="16"/>
        <v>-4.3E-3</v>
      </c>
      <c r="N68" s="1001">
        <f t="shared" si="16"/>
        <v>-8.6E-3</v>
      </c>
      <c r="AA68" s="1057"/>
      <c r="AB68" s="1057"/>
      <c r="AC68" s="1057"/>
      <c r="AD68" s="1057"/>
      <c r="AE68" s="1057"/>
      <c r="AF68" s="1057"/>
      <c r="AG68" s="1057"/>
      <c r="AH68" s="1057"/>
      <c r="AI68" s="1057"/>
      <c r="AJ68" s="1057"/>
      <c r="AK68" s="1057"/>
    </row>
    <row r="69" spans="1:37" s="1056" customFormat="1" ht="26.25" thickBot="1">
      <c r="A69" s="1976" t="s">
        <v>2061</v>
      </c>
      <c r="B69" s="1978" t="str">
        <f>估价对象房地状况!C20</f>
        <v>区域自然环境：；人文环境；综合评价环境状况一般</v>
      </c>
      <c r="C69" s="1886" t="s">
        <v>3408</v>
      </c>
      <c r="D69" s="1002">
        <f t="shared" si="12"/>
        <v>3.3E-3</v>
      </c>
      <c r="E69" s="704"/>
      <c r="F69" s="1674"/>
      <c r="G69" s="1000">
        <v>3.3E-3</v>
      </c>
      <c r="H69" s="1003">
        <f t="shared" si="13"/>
        <v>0</v>
      </c>
      <c r="I69" s="3068">
        <v>7.0000000000000007E-2</v>
      </c>
      <c r="J69" s="1001">
        <f t="shared" si="14"/>
        <v>6.6E-3</v>
      </c>
      <c r="K69" s="1001">
        <f t="shared" si="15"/>
        <v>3.3E-3</v>
      </c>
      <c r="L69" s="1001">
        <v>0</v>
      </c>
      <c r="M69" s="1001">
        <f t="shared" si="16"/>
        <v>-3.3E-3</v>
      </c>
      <c r="N69" s="1001">
        <f t="shared" si="16"/>
        <v>-6.6E-3</v>
      </c>
      <c r="AA69" s="1057"/>
      <c r="AB69" s="1057"/>
      <c r="AC69" s="1057"/>
      <c r="AD69" s="1057"/>
      <c r="AE69" s="1057"/>
      <c r="AF69" s="1057"/>
      <c r="AG69" s="1057"/>
      <c r="AH69" s="1057"/>
      <c r="AI69" s="1057"/>
      <c r="AJ69" s="1057"/>
      <c r="AK69" s="1057"/>
    </row>
    <row r="70" spans="1:37" s="1056" customFormat="1" ht="15">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69" t="s">
        <v>2066</v>
      </c>
      <c r="B72" s="1972">
        <f>估价对象房地状况!C15</f>
        <v>0</v>
      </c>
      <c r="C72" s="1886"/>
      <c r="D72" s="1002">
        <f t="shared" ref="D72:D80" si="17">SUMIF($J$71:$N$71,C72,J72:N72)</f>
        <v>0</v>
      </c>
      <c r="E72" s="702">
        <f>ROUND(SUM(D72:D80),4)</f>
        <v>0</v>
      </c>
      <c r="F72" s="1674"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1">
      <c r="A73" s="1969" t="s">
        <v>2053</v>
      </c>
      <c r="B73" s="1261" t="str">
        <f>估价对象房地状况!C18</f>
        <v>估价对象周边道路状况、公共交通通达情况、停车便捷程度，综合评价交通便捷度较好</v>
      </c>
      <c r="C73" s="1886"/>
      <c r="D73" s="1002">
        <f t="shared" si="17"/>
        <v>0</v>
      </c>
      <c r="E73" s="705"/>
      <c r="F73" s="1674"/>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36">
      <c r="A74" s="3069" t="s">
        <v>3269</v>
      </c>
      <c r="B74" s="1261">
        <f>估价对象房地状况!C19</f>
        <v>0</v>
      </c>
      <c r="C74" s="1886"/>
      <c r="D74" s="1002">
        <f t="shared" si="17"/>
        <v>0</v>
      </c>
      <c r="E74" s="705"/>
      <c r="F74" s="1674"/>
      <c r="G74" s="1000"/>
      <c r="H74" s="1003" t="str">
        <f t="shared" si="18"/>
        <v>——</v>
      </c>
      <c r="I74" s="3067">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4.25">
      <c r="A75" s="1969" t="s">
        <v>2067</v>
      </c>
      <c r="B75" s="1261">
        <f>估价对象房地状况!C24</f>
        <v>0</v>
      </c>
      <c r="C75" s="1886"/>
      <c r="D75" s="1002">
        <f t="shared" si="17"/>
        <v>0</v>
      </c>
      <c r="E75" s="705"/>
      <c r="F75" s="1674"/>
      <c r="G75" s="1000"/>
      <c r="H75" s="1003" t="str">
        <f t="shared" si="18"/>
        <v>——</v>
      </c>
      <c r="I75" s="3067">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5.5">
      <c r="A76" s="1969" t="s">
        <v>2059</v>
      </c>
      <c r="B76" s="1239" t="str">
        <f>估价对象房地状况!C21</f>
        <v>估价对象所在区域公共配套设施齐备情况</v>
      </c>
      <c r="C76" s="1886"/>
      <c r="D76" s="1002">
        <f t="shared" si="17"/>
        <v>0</v>
      </c>
      <c r="E76" s="705"/>
      <c r="F76" s="1674"/>
      <c r="G76" s="1000"/>
      <c r="H76" s="1003" t="str">
        <f t="shared" si="18"/>
        <v>——</v>
      </c>
      <c r="I76" s="3067">
        <v>0.08</v>
      </c>
      <c r="J76" s="1001">
        <f t="shared" si="19"/>
        <v>0</v>
      </c>
      <c r="K76" s="1001">
        <f t="shared" si="20"/>
        <v>0</v>
      </c>
      <c r="L76" s="1001">
        <v>0</v>
      </c>
      <c r="M76" s="1001">
        <f t="shared" si="21"/>
        <v>0</v>
      </c>
      <c r="N76" s="1001">
        <f t="shared" si="21"/>
        <v>0</v>
      </c>
      <c r="O76" s="1056"/>
      <c r="P76" s="1056"/>
      <c r="Z76" s="1844"/>
      <c r="AA76" s="1894"/>
      <c r="AG76" s="1058"/>
      <c r="AK76" s="1894"/>
    </row>
    <row r="77" spans="1:37" ht="25.5">
      <c r="A77" s="1969" t="s">
        <v>2060</v>
      </c>
      <c r="B77" s="1239" t="str">
        <f>估价对象房地状况!C22</f>
        <v>估价对象所在区域基础设施水平</v>
      </c>
      <c r="C77" s="1886"/>
      <c r="D77" s="1002">
        <f t="shared" si="17"/>
        <v>0</v>
      </c>
      <c r="E77" s="705"/>
      <c r="F77" s="1674"/>
      <c r="G77" s="1000"/>
      <c r="H77" s="1003" t="str">
        <f t="shared" si="18"/>
        <v>——</v>
      </c>
      <c r="I77" s="3067">
        <v>0.09</v>
      </c>
      <c r="J77" s="1001">
        <f t="shared" si="19"/>
        <v>0</v>
      </c>
      <c r="K77" s="1001">
        <f t="shared" si="20"/>
        <v>0</v>
      </c>
      <c r="L77" s="1001">
        <v>0</v>
      </c>
      <c r="M77" s="1001">
        <f t="shared" si="21"/>
        <v>0</v>
      </c>
      <c r="N77" s="1001">
        <f t="shared" si="21"/>
        <v>0</v>
      </c>
      <c r="O77" s="1056"/>
      <c r="P77" s="1056"/>
      <c r="Z77" s="1844"/>
      <c r="AA77" s="1894"/>
      <c r="AG77" s="1058"/>
      <c r="AK77" s="1894"/>
    </row>
    <row r="78" spans="1:37" ht="24">
      <c r="A78" s="1969" t="s">
        <v>2057</v>
      </c>
      <c r="B78" s="1974" t="s">
        <v>2058</v>
      </c>
      <c r="C78" s="1886"/>
      <c r="D78" s="1002">
        <f t="shared" si="17"/>
        <v>0</v>
      </c>
      <c r="E78" s="705"/>
      <c r="F78" s="1674"/>
      <c r="G78" s="1000"/>
      <c r="H78" s="1003" t="str">
        <f t="shared" si="18"/>
        <v>——</v>
      </c>
      <c r="I78" s="3067">
        <v>0.05</v>
      </c>
      <c r="J78" s="1001">
        <f t="shared" si="19"/>
        <v>0</v>
      </c>
      <c r="K78" s="1001">
        <f t="shared" si="20"/>
        <v>0</v>
      </c>
      <c r="L78" s="1001">
        <v>0</v>
      </c>
      <c r="M78" s="1001">
        <f t="shared" si="21"/>
        <v>0</v>
      </c>
      <c r="N78" s="1001">
        <f t="shared" si="21"/>
        <v>0</v>
      </c>
      <c r="O78" s="1843"/>
      <c r="P78" s="1843"/>
      <c r="Z78" s="1844"/>
      <c r="AA78" s="1894"/>
      <c r="AG78" s="1058"/>
      <c r="AK78" s="1894"/>
    </row>
    <row r="79" spans="1:37" ht="25.5">
      <c r="A79" s="1969" t="s">
        <v>2061</v>
      </c>
      <c r="B79" s="1972" t="str">
        <f>估价对象房地状况!C20</f>
        <v>区域自然环境：；人文环境；综合评价环境状况一般</v>
      </c>
      <c r="C79" s="1886"/>
      <c r="D79" s="1002">
        <f t="shared" si="17"/>
        <v>0</v>
      </c>
      <c r="E79" s="705"/>
      <c r="F79" s="1674"/>
      <c r="G79" s="1000"/>
      <c r="H79" s="1003" t="str">
        <f t="shared" si="18"/>
        <v>——</v>
      </c>
      <c r="I79" s="3067">
        <v>0.12</v>
      </c>
      <c r="J79" s="1001">
        <f t="shared" si="19"/>
        <v>0</v>
      </c>
      <c r="K79" s="1001">
        <f t="shared" si="20"/>
        <v>0</v>
      </c>
      <c r="L79" s="1001">
        <v>0</v>
      </c>
      <c r="M79" s="1001">
        <f t="shared" si="21"/>
        <v>0</v>
      </c>
      <c r="N79" s="1001">
        <f t="shared" si="21"/>
        <v>0</v>
      </c>
      <c r="Z79" s="1844"/>
      <c r="AA79" s="1894"/>
      <c r="AG79" s="1058"/>
      <c r="AK79" s="1894"/>
    </row>
    <row r="80" spans="1:37" ht="24.75" thickBot="1">
      <c r="A80" s="1976" t="s">
        <v>2068</v>
      </c>
      <c r="B80" s="1980"/>
      <c r="C80" s="1886"/>
      <c r="D80" s="1002">
        <f t="shared" si="17"/>
        <v>0</v>
      </c>
      <c r="E80" s="706"/>
      <c r="F80" s="1674"/>
      <c r="G80" s="1000"/>
      <c r="H80" s="1003" t="str">
        <f t="shared" si="18"/>
        <v>——</v>
      </c>
      <c r="I80" s="3068">
        <v>0.05</v>
      </c>
      <c r="J80" s="1001">
        <f t="shared" si="19"/>
        <v>0</v>
      </c>
      <c r="K80" s="1001">
        <f t="shared" si="20"/>
        <v>0</v>
      </c>
      <c r="L80" s="1001">
        <v>0</v>
      </c>
      <c r="M80" s="1001">
        <f t="shared" si="21"/>
        <v>0</v>
      </c>
      <c r="N80" s="1001">
        <f t="shared" si="21"/>
        <v>0</v>
      </c>
      <c r="Z80" s="1844"/>
      <c r="AA80" s="1894"/>
      <c r="AG80" s="1058"/>
      <c r="AK80" s="1894"/>
    </row>
    <row r="81" spans="1:37" ht="15">
      <c r="A81" s="1966" t="s">
        <v>2069</v>
      </c>
      <c r="B81" s="1967">
        <f>1+E83</f>
        <v>1</v>
      </c>
      <c r="C81" s="699"/>
      <c r="D81" s="699"/>
      <c r="E81" s="700"/>
      <c r="F81" s="1968"/>
      <c r="G81" s="3"/>
      <c r="H81" s="3"/>
      <c r="I81" s="3"/>
      <c r="J81" s="4"/>
      <c r="K81" s="4"/>
      <c r="L81" s="4"/>
      <c r="M81" s="4"/>
      <c r="N81" s="4"/>
      <c r="Z81" s="1844"/>
      <c r="AA81" s="1894"/>
      <c r="AG81" s="1058"/>
      <c r="AK81" s="1894"/>
    </row>
    <row r="82" spans="1:37" ht="24.75">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8"/>
      <c r="AK82" s="1894"/>
    </row>
    <row r="83" spans="1:37" ht="38.25">
      <c r="A83" s="1969" t="s">
        <v>2070</v>
      </c>
      <c r="B83" s="1261" t="str">
        <f>估价对象房地状况!G15</f>
        <v>估价对象位于XX开发区，园区建设成熟度XX，产业集聚程度XX</v>
      </c>
      <c r="C83" s="1886"/>
      <c r="D83" s="1002">
        <f t="shared" ref="D83:D90" si="22">SUMIF($J$82:$N$82,C83,J83:N83)</f>
        <v>0</v>
      </c>
      <c r="E83" s="702">
        <f>ROUND(SUM(D83:D90),4)</f>
        <v>0</v>
      </c>
      <c r="F83" s="1674"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51">
      <c r="A84" s="1969" t="s">
        <v>2053</v>
      </c>
      <c r="B84" s="1261" t="str">
        <f>估价对象房地状况!G16</f>
        <v>估价对象周边道路状况、公共交通通达情况、停车便捷程度，综合评价交通便捷度较好</v>
      </c>
      <c r="C84" s="1886"/>
      <c r="D84" s="1002">
        <f t="shared" si="22"/>
        <v>0</v>
      </c>
      <c r="E84" s="705"/>
      <c r="F84" s="1674"/>
      <c r="G84" s="1000"/>
      <c r="H84" s="1003" t="str">
        <f t="shared" si="23"/>
        <v>——</v>
      </c>
      <c r="I84" s="3067">
        <v>0.3</v>
      </c>
      <c r="J84" s="1001">
        <f t="shared" si="24"/>
        <v>0</v>
      </c>
      <c r="K84" s="1001">
        <f t="shared" si="25"/>
        <v>0</v>
      </c>
      <c r="L84" s="1001">
        <v>0</v>
      </c>
      <c r="M84" s="1001">
        <f t="shared" si="26"/>
        <v>0</v>
      </c>
      <c r="N84" s="1001">
        <f t="shared" si="26"/>
        <v>0</v>
      </c>
      <c r="Z84" s="1844"/>
      <c r="AA84" s="1894"/>
      <c r="AG84" s="1058"/>
      <c r="AK84" s="1894"/>
    </row>
    <row r="85" spans="1:37" ht="36">
      <c r="A85" s="3069" t="s">
        <v>3270</v>
      </c>
      <c r="B85" s="1261">
        <f>估价对象房地状况!G17</f>
        <v>0</v>
      </c>
      <c r="C85" s="1886"/>
      <c r="D85" s="1002">
        <f t="shared" si="22"/>
        <v>0</v>
      </c>
      <c r="E85" s="705"/>
      <c r="F85" s="1674"/>
      <c r="G85" s="1000"/>
      <c r="H85" s="1003" t="str">
        <f t="shared" si="23"/>
        <v>——</v>
      </c>
      <c r="I85" s="3067">
        <v>0.1</v>
      </c>
      <c r="J85" s="1001">
        <f t="shared" si="24"/>
        <v>0</v>
      </c>
      <c r="K85" s="1001">
        <f t="shared" si="25"/>
        <v>0</v>
      </c>
      <c r="L85" s="1001">
        <v>0</v>
      </c>
      <c r="M85" s="1001">
        <f t="shared" si="26"/>
        <v>0</v>
      </c>
      <c r="N85" s="1001">
        <f t="shared" si="26"/>
        <v>0</v>
      </c>
      <c r="Z85" s="1844"/>
      <c r="AA85" s="1894"/>
      <c r="AG85" s="1058"/>
      <c r="AK85" s="1894"/>
    </row>
    <row r="86" spans="1:37" ht="14.25">
      <c r="A86" s="1969" t="s">
        <v>2067</v>
      </c>
      <c r="B86" s="1261">
        <f>估价对象房地状况!G22</f>
        <v>0</v>
      </c>
      <c r="C86" s="1886"/>
      <c r="D86" s="1002">
        <f t="shared" si="22"/>
        <v>0</v>
      </c>
      <c r="E86" s="705"/>
      <c r="F86" s="1674"/>
      <c r="G86" s="1000"/>
      <c r="H86" s="1003" t="str">
        <f t="shared" si="23"/>
        <v>——</v>
      </c>
      <c r="I86" s="3067">
        <v>0.05</v>
      </c>
      <c r="J86" s="1001">
        <f t="shared" si="24"/>
        <v>0</v>
      </c>
      <c r="K86" s="1001">
        <f t="shared" si="25"/>
        <v>0</v>
      </c>
      <c r="L86" s="1001">
        <v>0</v>
      </c>
      <c r="M86" s="1001">
        <f t="shared" si="26"/>
        <v>0</v>
      </c>
      <c r="N86" s="1001">
        <f t="shared" si="26"/>
        <v>0</v>
      </c>
      <c r="Z86" s="1844"/>
      <c r="AA86" s="1894"/>
      <c r="AG86" s="1058"/>
      <c r="AK86" s="1894"/>
    </row>
    <row r="87" spans="1:37" ht="25.5">
      <c r="A87" s="1969" t="s">
        <v>2059</v>
      </c>
      <c r="B87" s="1239" t="str">
        <f>估价对象房地状况!G19</f>
        <v>估价对象所在区域公共配套设施齐备情况</v>
      </c>
      <c r="C87" s="1886"/>
      <c r="D87" s="1002">
        <f t="shared" si="22"/>
        <v>0</v>
      </c>
      <c r="E87" s="705"/>
      <c r="F87" s="1674"/>
      <c r="G87" s="1000"/>
      <c r="H87" s="1003" t="str">
        <f t="shared" si="23"/>
        <v>——</v>
      </c>
      <c r="I87" s="3067">
        <v>0.06</v>
      </c>
      <c r="J87" s="1001">
        <f t="shared" si="24"/>
        <v>0</v>
      </c>
      <c r="K87" s="1001">
        <f t="shared" si="25"/>
        <v>0</v>
      </c>
      <c r="L87" s="1001">
        <v>0</v>
      </c>
      <c r="M87" s="1001">
        <f t="shared" si="26"/>
        <v>0</v>
      </c>
      <c r="N87" s="1001">
        <f t="shared" si="26"/>
        <v>0</v>
      </c>
    </row>
    <row r="88" spans="1:37" ht="25.5">
      <c r="A88" s="1969" t="s">
        <v>2060</v>
      </c>
      <c r="B88" s="1239" t="str">
        <f>估价对象房地状况!G20</f>
        <v>估价对象所在区域基础设施水平</v>
      </c>
      <c r="C88" s="1886"/>
      <c r="D88" s="1002">
        <f t="shared" si="22"/>
        <v>0</v>
      </c>
      <c r="E88" s="705"/>
      <c r="F88" s="1674"/>
      <c r="G88" s="1000"/>
      <c r="H88" s="1003" t="str">
        <f t="shared" si="23"/>
        <v>——</v>
      </c>
      <c r="I88" s="3067">
        <v>0.12</v>
      </c>
      <c r="J88" s="1001">
        <f t="shared" si="24"/>
        <v>0</v>
      </c>
      <c r="K88" s="1001">
        <f t="shared" si="25"/>
        <v>0</v>
      </c>
      <c r="L88" s="1001">
        <v>0</v>
      </c>
      <c r="M88" s="1001">
        <f t="shared" si="26"/>
        <v>0</v>
      </c>
      <c r="N88" s="1001">
        <f t="shared" si="26"/>
        <v>0</v>
      </c>
    </row>
    <row r="89" spans="1:37" ht="24">
      <c r="A89" s="1969" t="s">
        <v>2057</v>
      </c>
      <c r="B89" s="1974" t="s">
        <v>2071</v>
      </c>
      <c r="C89" s="1886"/>
      <c r="D89" s="1002">
        <f t="shared" si="22"/>
        <v>0</v>
      </c>
      <c r="E89" s="705"/>
      <c r="F89" s="1674"/>
      <c r="G89" s="1000"/>
      <c r="H89" s="1003" t="str">
        <f t="shared" si="23"/>
        <v>——</v>
      </c>
      <c r="I89" s="3067">
        <v>0.06</v>
      </c>
      <c r="J89" s="1001">
        <f t="shared" si="24"/>
        <v>0</v>
      </c>
      <c r="K89" s="1001">
        <f t="shared" si="25"/>
        <v>0</v>
      </c>
      <c r="L89" s="1001">
        <v>0</v>
      </c>
      <c r="M89" s="1001">
        <f t="shared" si="26"/>
        <v>0</v>
      </c>
      <c r="N89" s="1001">
        <f t="shared" si="26"/>
        <v>0</v>
      </c>
    </row>
    <row r="90" spans="1:37" ht="39" thickBot="1">
      <c r="A90" s="1976" t="s">
        <v>2072</v>
      </c>
      <c r="B90" s="1981" t="str">
        <f>估价对象房地状况!G18</f>
        <v>该园区内是否有污染型企业，绿化情况，卫生条件，整体环境状况判断</v>
      </c>
      <c r="C90" s="1886"/>
      <c r="D90" s="1002">
        <f t="shared" si="22"/>
        <v>0</v>
      </c>
      <c r="E90" s="706"/>
      <c r="F90" s="1674"/>
      <c r="G90" s="1000"/>
      <c r="H90" s="1003" t="str">
        <f t="shared" si="23"/>
        <v>——</v>
      </c>
      <c r="I90" s="3068">
        <v>0.05</v>
      </c>
      <c r="J90" s="1001">
        <f t="shared" si="24"/>
        <v>0</v>
      </c>
      <c r="K90" s="1001">
        <f t="shared" si="25"/>
        <v>0</v>
      </c>
      <c r="L90" s="1001">
        <v>0</v>
      </c>
      <c r="M90" s="1001">
        <f t="shared" si="26"/>
        <v>0</v>
      </c>
      <c r="N90" s="1001">
        <f t="shared" si="26"/>
        <v>0</v>
      </c>
    </row>
    <row r="91" spans="1:37" ht="15">
      <c r="A91" s="3077" t="s">
        <v>2612</v>
      </c>
      <c r="B91" s="3078">
        <f>1+E93</f>
        <v>1</v>
      </c>
      <c r="C91" s="3071"/>
      <c r="D91" s="3072"/>
      <c r="E91" s="1674"/>
      <c r="F91" s="1674"/>
      <c r="G91" s="3073"/>
      <c r="H91" s="3074"/>
      <c r="I91" s="3075"/>
      <c r="J91" s="3076"/>
      <c r="K91" s="3076"/>
      <c r="L91" s="3076"/>
      <c r="M91" s="3076"/>
      <c r="N91" s="3076"/>
    </row>
    <row r="92" spans="1:37" ht="24.75">
      <c r="A92" s="3079" t="s">
        <v>3271</v>
      </c>
      <c r="B92" s="2309"/>
      <c r="C92" s="2309" t="s">
        <v>3280</v>
      </c>
      <c r="D92" s="2309" t="s">
        <v>3281</v>
      </c>
      <c r="E92" s="3051" t="s">
        <v>3282</v>
      </c>
      <c r="F92" s="3081" t="s">
        <v>3283</v>
      </c>
      <c r="G92" s="2309" t="s">
        <v>3284</v>
      </c>
      <c r="H92" s="3088" t="s">
        <v>3287</v>
      </c>
      <c r="I92" s="2309" t="s">
        <v>3288</v>
      </c>
      <c r="J92" s="2149" t="s">
        <v>3289</v>
      </c>
      <c r="K92" s="2149" t="s">
        <v>3290</v>
      </c>
      <c r="L92" s="2149" t="s">
        <v>3291</v>
      </c>
      <c r="M92" s="2149" t="s">
        <v>3292</v>
      </c>
      <c r="N92" s="2149" t="s">
        <v>3293</v>
      </c>
    </row>
    <row r="93" spans="1:37" ht="24">
      <c r="A93" s="3069" t="s">
        <v>3272</v>
      </c>
      <c r="B93" s="1220"/>
      <c r="C93" s="1886"/>
      <c r="D93" s="2309">
        <f>SUMIF($J$92:$N$92,C93,J93:N93)</f>
        <v>0</v>
      </c>
      <c r="E93" s="3082">
        <f>ROUND(SUM(D93:D101),4)</f>
        <v>0</v>
      </c>
      <c r="F93" s="1674" t="str">
        <f>IF(E2="公共服务",SUMIF(L1:L12,G2,N1:N12),"——")</f>
        <v>——</v>
      </c>
      <c r="G93" s="3073"/>
      <c r="H93" s="3118" t="str">
        <f>IFERROR(ROUNDDOWN($F$93*I93/2,4),"——")</f>
        <v>——</v>
      </c>
      <c r="I93" s="3067">
        <v>0.25</v>
      </c>
      <c r="J93" s="1911">
        <f t="shared" ref="J93:J101" si="27">K93+$G93</f>
        <v>0</v>
      </c>
      <c r="K93" s="1911">
        <f t="shared" ref="K93:K101" si="28">$L93+$G93</f>
        <v>0</v>
      </c>
      <c r="L93" s="1911">
        <v>0</v>
      </c>
      <c r="M93" s="1911">
        <f t="shared" ref="M93:N101" si="29">L93-$G93</f>
        <v>0</v>
      </c>
      <c r="N93" s="1911">
        <f t="shared" si="29"/>
        <v>0</v>
      </c>
    </row>
    <row r="94" spans="1:37" ht="51">
      <c r="A94" s="3079" t="s">
        <v>3273</v>
      </c>
      <c r="B94" s="3070" t="str">
        <f>估价对象房地状况!C18</f>
        <v>估价对象周边道路状况、公共交通通达情况、停车便捷程度，综合评价交通便捷度较好</v>
      </c>
      <c r="C94" s="1886"/>
      <c r="D94" s="2309">
        <f t="shared" ref="D94:D101" si="30">SUMIF($J$60:$N$60,C94,J94:N94)</f>
        <v>0</v>
      </c>
      <c r="E94" s="3083"/>
      <c r="F94" s="1674"/>
      <c r="G94" s="3073"/>
      <c r="H94" s="3118" t="str">
        <f>IFERROR(ROUNDDOWN($F$93*I94/2,4),"——")</f>
        <v>——</v>
      </c>
      <c r="I94" s="3067">
        <v>0.26</v>
      </c>
      <c r="J94" s="1911">
        <f t="shared" si="27"/>
        <v>0</v>
      </c>
      <c r="K94" s="1911">
        <f t="shared" si="28"/>
        <v>0</v>
      </c>
      <c r="L94" s="1911">
        <v>0</v>
      </c>
      <c r="M94" s="1911">
        <f t="shared" si="29"/>
        <v>0</v>
      </c>
      <c r="N94" s="1911">
        <f t="shared" si="29"/>
        <v>0</v>
      </c>
    </row>
    <row r="95" spans="1:37" ht="36">
      <c r="A95" s="3069" t="s">
        <v>3269</v>
      </c>
      <c r="B95" s="3070">
        <f>估价对象房地状况!C19</f>
        <v>0</v>
      </c>
      <c r="C95" s="1886"/>
      <c r="D95" s="2309">
        <f t="shared" si="30"/>
        <v>0</v>
      </c>
      <c r="E95" s="3083"/>
      <c r="F95" s="1674"/>
      <c r="G95" s="3073"/>
      <c r="H95" s="3118" t="str">
        <f t="shared" ref="H95:H101" si="31">IFERROR(ROUNDDOWN($F$93*I95/2,4),"——")</f>
        <v>——</v>
      </c>
      <c r="I95" s="3067">
        <v>0.11</v>
      </c>
      <c r="J95" s="1911">
        <f t="shared" si="27"/>
        <v>0</v>
      </c>
      <c r="K95" s="1911">
        <f t="shared" si="28"/>
        <v>0</v>
      </c>
      <c r="L95" s="1911">
        <v>0</v>
      </c>
      <c r="M95" s="1911">
        <f t="shared" si="29"/>
        <v>0</v>
      </c>
      <c r="N95" s="1911">
        <f t="shared" si="29"/>
        <v>0</v>
      </c>
    </row>
    <row r="96" spans="1:37" ht="36.75">
      <c r="A96" s="3079" t="s">
        <v>3274</v>
      </c>
      <c r="B96" s="3085" t="s">
        <v>3285</v>
      </c>
      <c r="C96" s="1886"/>
      <c r="D96" s="2309">
        <f t="shared" si="30"/>
        <v>0</v>
      </c>
      <c r="E96" s="3083"/>
      <c r="F96" s="1674"/>
      <c r="G96" s="3073"/>
      <c r="H96" s="3118" t="str">
        <f t="shared" si="31"/>
        <v>——</v>
      </c>
      <c r="I96" s="3067">
        <v>0.05</v>
      </c>
      <c r="J96" s="1911">
        <f t="shared" si="27"/>
        <v>0</v>
      </c>
      <c r="K96" s="1911">
        <f t="shared" si="28"/>
        <v>0</v>
      </c>
      <c r="L96" s="1911">
        <v>0</v>
      </c>
      <c r="M96" s="1911">
        <f t="shared" si="29"/>
        <v>0</v>
      </c>
      <c r="N96" s="1911">
        <f t="shared" si="29"/>
        <v>0</v>
      </c>
    </row>
    <row r="97" spans="1:14" ht="24">
      <c r="A97" s="3079" t="s">
        <v>3275</v>
      </c>
      <c r="B97" s="3070">
        <f>估价对象房地状况!C24</f>
        <v>0</v>
      </c>
      <c r="C97" s="1886"/>
      <c r="D97" s="2309">
        <f t="shared" si="30"/>
        <v>0</v>
      </c>
      <c r="E97" s="3083"/>
      <c r="F97" s="1674"/>
      <c r="G97" s="3073"/>
      <c r="H97" s="3118" t="str">
        <f t="shared" si="31"/>
        <v>——</v>
      </c>
      <c r="I97" s="3067">
        <v>0.05</v>
      </c>
      <c r="J97" s="1911">
        <f t="shared" si="27"/>
        <v>0</v>
      </c>
      <c r="K97" s="1911">
        <f t="shared" si="28"/>
        <v>0</v>
      </c>
      <c r="L97" s="1911">
        <v>0</v>
      </c>
      <c r="M97" s="1911">
        <f t="shared" si="29"/>
        <v>0</v>
      </c>
      <c r="N97" s="1911">
        <f t="shared" si="29"/>
        <v>0</v>
      </c>
    </row>
    <row r="98" spans="1:14" ht="24">
      <c r="A98" s="3079" t="s">
        <v>3276</v>
      </c>
      <c r="B98" s="3086" t="s">
        <v>3286</v>
      </c>
      <c r="C98" s="1886"/>
      <c r="D98" s="2309">
        <f t="shared" si="30"/>
        <v>0</v>
      </c>
      <c r="E98" s="3083"/>
      <c r="F98" s="1674"/>
      <c r="G98" s="3073"/>
      <c r="H98" s="3118" t="str">
        <f t="shared" si="31"/>
        <v>——</v>
      </c>
      <c r="I98" s="3067">
        <v>0.06</v>
      </c>
      <c r="J98" s="1911">
        <f t="shared" si="27"/>
        <v>0</v>
      </c>
      <c r="K98" s="1911">
        <f t="shared" si="28"/>
        <v>0</v>
      </c>
      <c r="L98" s="1911">
        <v>0</v>
      </c>
      <c r="M98" s="1911">
        <f t="shared" si="29"/>
        <v>0</v>
      </c>
      <c r="N98" s="1911">
        <f t="shared" si="29"/>
        <v>0</v>
      </c>
    </row>
    <row r="99" spans="1:14" ht="25.5">
      <c r="A99" s="3079" t="s">
        <v>3277</v>
      </c>
      <c r="B99" s="3070" t="str">
        <f>估价对象房地状况!C21</f>
        <v>估价对象所在区域公共配套设施齐备情况</v>
      </c>
      <c r="C99" s="1886"/>
      <c r="D99" s="2309">
        <f t="shared" si="30"/>
        <v>0</v>
      </c>
      <c r="E99" s="3083"/>
      <c r="F99" s="1674"/>
      <c r="G99" s="3073"/>
      <c r="H99" s="3118" t="str">
        <f t="shared" si="31"/>
        <v>——</v>
      </c>
      <c r="I99" s="3067">
        <v>0.06</v>
      </c>
      <c r="J99" s="1911">
        <f t="shared" si="27"/>
        <v>0</v>
      </c>
      <c r="K99" s="1911">
        <f t="shared" si="28"/>
        <v>0</v>
      </c>
      <c r="L99" s="1911">
        <v>0</v>
      </c>
      <c r="M99" s="1911">
        <f t="shared" si="29"/>
        <v>0</v>
      </c>
      <c r="N99" s="1911">
        <f t="shared" si="29"/>
        <v>0</v>
      </c>
    </row>
    <row r="100" spans="1:14" ht="25.5">
      <c r="A100" s="3079" t="s">
        <v>3278</v>
      </c>
      <c r="B100" s="3070" t="str">
        <f>估价对象房地状况!C22</f>
        <v>估价对象所在区域基础设施水平</v>
      </c>
      <c r="C100" s="1886"/>
      <c r="D100" s="2309">
        <f t="shared" si="30"/>
        <v>0</v>
      </c>
      <c r="E100" s="3083"/>
      <c r="F100" s="1674"/>
      <c r="G100" s="3073"/>
      <c r="H100" s="3118" t="str">
        <f t="shared" si="31"/>
        <v>——</v>
      </c>
      <c r="I100" s="3067">
        <v>0.09</v>
      </c>
      <c r="J100" s="1911">
        <f t="shared" si="27"/>
        <v>0</v>
      </c>
      <c r="K100" s="1911">
        <f t="shared" si="28"/>
        <v>0</v>
      </c>
      <c r="L100" s="1911">
        <v>0</v>
      </c>
      <c r="M100" s="1911">
        <f t="shared" si="29"/>
        <v>0</v>
      </c>
      <c r="N100" s="1911">
        <f t="shared" si="29"/>
        <v>0</v>
      </c>
    </row>
    <row r="101" spans="1:14" ht="26.25" thickBot="1">
      <c r="A101" s="3080" t="s">
        <v>3279</v>
      </c>
      <c r="B101" s="3087" t="str">
        <f>估价对象房地状况!C20</f>
        <v>区域自然环境：；人文环境；综合评价环境状况一般</v>
      </c>
      <c r="C101" s="1886"/>
      <c r="D101" s="2309">
        <f t="shared" si="30"/>
        <v>0</v>
      </c>
      <c r="E101" s="3084"/>
      <c r="F101" s="1674"/>
      <c r="G101" s="3073"/>
      <c r="H101" s="3118" t="str">
        <f t="shared" si="31"/>
        <v>——</v>
      </c>
      <c r="I101" s="3068">
        <v>7.0000000000000007E-2</v>
      </c>
      <c r="J101" s="1911">
        <f t="shared" si="27"/>
        <v>0</v>
      </c>
      <c r="K101" s="1911">
        <f t="shared" si="28"/>
        <v>0</v>
      </c>
      <c r="L101" s="1911">
        <v>0</v>
      </c>
      <c r="M101" s="1911">
        <f t="shared" si="29"/>
        <v>0</v>
      </c>
      <c r="N101" s="1911">
        <f t="shared" si="29"/>
        <v>0</v>
      </c>
    </row>
    <row r="103" spans="1:14">
      <c r="A103" s="3468" t="s">
        <v>3294</v>
      </c>
      <c r="B103" s="3468"/>
      <c r="C103" s="3468"/>
      <c r="D103" s="3468"/>
      <c r="E103" s="3468"/>
      <c r="F103" s="3468"/>
      <c r="G103" s="3468"/>
      <c r="H103" s="3468"/>
      <c r="I103" s="3468"/>
      <c r="J103" s="3468"/>
      <c r="K103" s="1666"/>
      <c r="L103" s="1666"/>
      <c r="M103" s="1666"/>
      <c r="N103" s="1666"/>
    </row>
    <row r="104" spans="1:14">
      <c r="A104" s="3469" t="s">
        <v>3295</v>
      </c>
      <c r="B104" s="3469" t="s">
        <v>3296</v>
      </c>
      <c r="C104" s="3089" t="s">
        <v>3297</v>
      </c>
      <c r="D104" s="3090"/>
      <c r="E104" s="3090"/>
      <c r="F104" s="3090"/>
      <c r="G104" s="3090"/>
      <c r="H104" s="3090"/>
      <c r="I104" s="3090"/>
      <c r="J104" s="3091"/>
      <c r="K104" s="3092"/>
      <c r="L104" s="3092"/>
      <c r="M104" s="3092"/>
      <c r="N104" s="3092"/>
    </row>
    <row r="105" spans="1:14">
      <c r="A105" s="3469"/>
      <c r="B105" s="3469"/>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455"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6"/>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6"/>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6"/>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6"/>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6"/>
      <c r="B111" s="3093" t="s">
        <v>3268</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7"/>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58" t="s">
        <v>3311</v>
      </c>
      <c r="B113" s="3458"/>
      <c r="C113" s="3458"/>
      <c r="D113" s="3458"/>
      <c r="E113" s="3458"/>
      <c r="F113" s="3458"/>
      <c r="G113" s="3458"/>
      <c r="H113" s="3458"/>
      <c r="I113" s="3458"/>
      <c r="J113" s="3458"/>
      <c r="K113" s="3095"/>
      <c r="L113" s="3095"/>
      <c r="M113" s="3095"/>
      <c r="N113" s="3095"/>
    </row>
    <row r="114" spans="1:14">
      <c r="A114" s="3096"/>
      <c r="B114" s="3096"/>
      <c r="C114" s="3096"/>
      <c r="D114" s="3096"/>
      <c r="E114" s="3096"/>
      <c r="F114" s="3096"/>
      <c r="G114" s="3096"/>
      <c r="H114" s="3096"/>
      <c r="I114" s="3096"/>
      <c r="J114" s="3096"/>
      <c r="K114" s="1963"/>
      <c r="L114" s="3096"/>
      <c r="M114" s="3096"/>
      <c r="N114" s="3096"/>
    </row>
    <row r="115" spans="1:14" ht="13.5" thickBot="1">
      <c r="A115" s="3096"/>
      <c r="B115" s="3096"/>
      <c r="C115" s="3096"/>
      <c r="D115" s="3096"/>
      <c r="E115" s="3096"/>
      <c r="F115" s="3096"/>
      <c r="G115" s="3096"/>
      <c r="H115" s="3096"/>
      <c r="I115" s="3096"/>
      <c r="J115" s="3096"/>
      <c r="K115" s="1963"/>
      <c r="L115" s="3096"/>
      <c r="M115" s="3096"/>
      <c r="N115" s="3096"/>
    </row>
    <row r="116" spans="1:14" ht="25.5" thickBot="1">
      <c r="A116" s="3097" t="s">
        <v>3312</v>
      </c>
      <c r="B116" s="3113" t="e">
        <f>G3</f>
        <v>#DIV/0!</v>
      </c>
      <c r="C116" s="3098" t="s">
        <v>3313</v>
      </c>
      <c r="D116" s="3099" t="e">
        <f>SUMPRODUCT((A118:A122=F116)*(B117:M117=H116)*B118:M122)</f>
        <v>#DIV/0!</v>
      </c>
      <c r="E116" s="162" t="s">
        <v>3314</v>
      </c>
      <c r="F116" s="3100" t="str">
        <f>E2</f>
        <v>办公</v>
      </c>
      <c r="G116" s="162" t="s">
        <v>3315</v>
      </c>
      <c r="H116" s="3100">
        <f>G2</f>
        <v>0</v>
      </c>
      <c r="I116" s="162"/>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t="e">
        <f>ROUND(0.9968-0.011*B116,4)</f>
        <v>#DIV/0!</v>
      </c>
      <c r="C118" s="3088" t="e">
        <f>B118</f>
        <v>#DIV/0!</v>
      </c>
      <c r="D118" s="3088" t="e">
        <f>ROUND(0.949-0.014*B116,4)</f>
        <v>#DIV/0!</v>
      </c>
      <c r="E118" s="3088" t="e">
        <f>D118</f>
        <v>#DIV/0!</v>
      </c>
      <c r="F118" s="3088" t="e">
        <f>E118</f>
        <v>#DIV/0!</v>
      </c>
      <c r="G118" s="3088" t="e">
        <f>F118</f>
        <v>#DIV/0!</v>
      </c>
      <c r="H118" s="3088" t="e">
        <f>G118</f>
        <v>#DIV/0!</v>
      </c>
      <c r="I118" s="3088" t="e">
        <f>ROUND(0.8486-0.018*B116,4)</f>
        <v>#DIV/0!</v>
      </c>
      <c r="J118" s="3088" t="e">
        <f t="shared" ref="J118:M122" si="35">I118</f>
        <v>#DIV/0!</v>
      </c>
      <c r="K118" s="3088" t="e">
        <f t="shared" si="35"/>
        <v>#DIV/0!</v>
      </c>
      <c r="L118" s="3088" t="e">
        <f t="shared" si="35"/>
        <v>#DIV/0!</v>
      </c>
      <c r="M118" s="3108" t="e">
        <f t="shared" si="35"/>
        <v>#DIV/0!</v>
      </c>
      <c r="N118" s="3096"/>
    </row>
    <row r="119" spans="1:14">
      <c r="A119" s="3056" t="s">
        <v>3329</v>
      </c>
      <c r="B119" s="3088" t="e">
        <f>ROUND(0.993-0.0112*B116,4)</f>
        <v>#DIV/0!</v>
      </c>
      <c r="C119" s="3088" t="e">
        <f>B119</f>
        <v>#DIV/0!</v>
      </c>
      <c r="D119" s="3088" t="e">
        <f>ROUND(0.9415-0.0142*B116,4)</f>
        <v>#DIV/0!</v>
      </c>
      <c r="E119" s="3088" t="e">
        <f t="shared" ref="E119:H120" si="36">D119</f>
        <v>#DIV/0!</v>
      </c>
      <c r="F119" s="3088" t="e">
        <f t="shared" si="36"/>
        <v>#DIV/0!</v>
      </c>
      <c r="G119" s="3088" t="e">
        <f t="shared" si="36"/>
        <v>#DIV/0!</v>
      </c>
      <c r="H119" s="3088" t="e">
        <f t="shared" si="36"/>
        <v>#DIV/0!</v>
      </c>
      <c r="I119" s="3088" t="e">
        <f>ROUND(0.838-0.0182*B116,4)</f>
        <v>#DIV/0!</v>
      </c>
      <c r="J119" s="3088" t="e">
        <f t="shared" si="35"/>
        <v>#DIV/0!</v>
      </c>
      <c r="K119" s="3088" t="e">
        <f t="shared" si="35"/>
        <v>#DIV/0!</v>
      </c>
      <c r="L119" s="3088" t="e">
        <f t="shared" si="35"/>
        <v>#DIV/0!</v>
      </c>
      <c r="M119" s="3108" t="e">
        <f t="shared" si="35"/>
        <v>#DIV/0!</v>
      </c>
      <c r="N119" s="3096"/>
    </row>
    <row r="120" spans="1:14">
      <c r="A120" s="3056" t="s">
        <v>3330</v>
      </c>
      <c r="B120" s="3088" t="e">
        <f>ROUND(0.9448-0.0115*B116,4)</f>
        <v>#DIV/0!</v>
      </c>
      <c r="C120" s="3088" t="e">
        <f>B120</f>
        <v>#DIV/0!</v>
      </c>
      <c r="D120" s="3088" t="e">
        <f>ROUND(0.937-0.0145*B116,4)</f>
        <v>#DIV/0!</v>
      </c>
      <c r="E120" s="3088" t="e">
        <f t="shared" si="36"/>
        <v>#DIV/0!</v>
      </c>
      <c r="F120" s="3088" t="e">
        <f t="shared" si="36"/>
        <v>#DIV/0!</v>
      </c>
      <c r="G120" s="3088" t="e">
        <f t="shared" si="36"/>
        <v>#DIV/0!</v>
      </c>
      <c r="H120" s="3088" t="e">
        <f t="shared" si="36"/>
        <v>#DIV/0!</v>
      </c>
      <c r="I120" s="3088" t="e">
        <f>ROUND(0.7965-0.0185*B116,4)</f>
        <v>#DIV/0!</v>
      </c>
      <c r="J120" s="3088" t="e">
        <f t="shared" si="35"/>
        <v>#DIV/0!</v>
      </c>
      <c r="K120" s="3088" t="e">
        <f t="shared" si="35"/>
        <v>#DIV/0!</v>
      </c>
      <c r="L120" s="3088" t="e">
        <f t="shared" si="35"/>
        <v>#DIV/0!</v>
      </c>
      <c r="M120" s="3108" t="e">
        <f t="shared" si="35"/>
        <v>#DIV/0!</v>
      </c>
      <c r="N120" s="3096"/>
    </row>
    <row r="121" spans="1:14" ht="13.5" thickBot="1">
      <c r="A121" s="3109" t="s">
        <v>3331</v>
      </c>
      <c r="B121" s="3110" t="e">
        <f>ROUND(0.7836-0.012*B116,4)</f>
        <v>#DIV/0!</v>
      </c>
      <c r="C121" s="3110" t="e">
        <f>B121</f>
        <v>#DIV/0!</v>
      </c>
      <c r="D121" s="3110" t="e">
        <f>ROUND(0.753-0.015*B116,4)</f>
        <v>#DIV/0!</v>
      </c>
      <c r="E121" s="3110" t="e">
        <f>D121</f>
        <v>#DIV/0!</v>
      </c>
      <c r="F121" s="3110" t="e">
        <f>E121</f>
        <v>#DIV/0!</v>
      </c>
      <c r="G121" s="3110" t="e">
        <f>ROUND(0.6612-0.018*B116,4)</f>
        <v>#DIV/0!</v>
      </c>
      <c r="H121" s="3110" t="e">
        <f>G121</f>
        <v>#DIV/0!</v>
      </c>
      <c r="I121" s="3110" t="e">
        <f>ROUND(0.5905-0.019*B116,4)</f>
        <v>#DIV/0!</v>
      </c>
      <c r="J121" s="3110" t="e">
        <f t="shared" si="35"/>
        <v>#DIV/0!</v>
      </c>
      <c r="K121" s="3110" t="e">
        <f t="shared" si="35"/>
        <v>#DIV/0!</v>
      </c>
      <c r="L121" s="3110" t="e">
        <f t="shared" si="35"/>
        <v>#DIV/0!</v>
      </c>
      <c r="M121" s="3111" t="e">
        <f t="shared" si="35"/>
        <v>#DIV/0!</v>
      </c>
      <c r="N121" s="3096"/>
    </row>
    <row r="122" spans="1:14">
      <c r="A122" s="3112" t="s">
        <v>2612</v>
      </c>
      <c r="B122" s="3088" t="e">
        <f>ROUND(0.9404-0.0106*B116,4)</f>
        <v>#DIV/0!</v>
      </c>
      <c r="C122" s="3088" t="e">
        <f>B122</f>
        <v>#DIV/0!</v>
      </c>
      <c r="D122" s="3088" t="e">
        <f>ROUND(0.8955-0.0135*B116,4)</f>
        <v>#DIV/0!</v>
      </c>
      <c r="E122" s="3088" t="e">
        <f t="shared" ref="E122:H122" si="37">D122</f>
        <v>#DIV/0!</v>
      </c>
      <c r="F122" s="3088" t="e">
        <f t="shared" si="37"/>
        <v>#DIV/0!</v>
      </c>
      <c r="G122" s="3088" t="e">
        <f t="shared" si="37"/>
        <v>#DIV/0!</v>
      </c>
      <c r="H122" s="3088" t="e">
        <f t="shared" si="37"/>
        <v>#DIV/0!</v>
      </c>
      <c r="I122" s="3088" t="e">
        <f>ROUND(0.7632-0.0166*B116,4)</f>
        <v>#DIV/0!</v>
      </c>
      <c r="J122" s="3088" t="e">
        <f t="shared" si="35"/>
        <v>#DIV/0!</v>
      </c>
      <c r="K122" s="3088" t="e">
        <f t="shared" si="35"/>
        <v>#DIV/0!</v>
      </c>
      <c r="L122" s="3088" t="e">
        <f t="shared" si="35"/>
        <v>#DIV/0!</v>
      </c>
      <c r="M122" s="3108" t="e">
        <f t="shared" si="35"/>
        <v>#DIV/0!</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B00-000000000000}">
      <formula1>"500米范围内,500-1000米,1000米以外"</formula1>
    </dataValidation>
    <dataValidation type="list" allowBlank="1" showInputMessage="1" showErrorMessage="1" sqref="C15:D15" xr:uid="{00000000-0002-0000-2B00-000001000000}">
      <formula1>"有,无"</formula1>
    </dataValidation>
    <dataValidation type="list" allowBlank="1" showInputMessage="1" showErrorMessage="1" sqref="B25" xr:uid="{00000000-0002-0000-2B00-000002000000}">
      <formula1>"容积率修正,楼层修正"</formula1>
    </dataValidation>
    <dataValidation type="list" allowBlank="1" showInputMessage="1" showErrorMessage="1" sqref="F21" xr:uid="{00000000-0002-0000-2B00-000003000000}">
      <formula1>"与级别开发程度一致,与级别开发程度不一致"</formula1>
    </dataValidation>
    <dataValidation type="list" allowBlank="1" showInputMessage="1" showErrorMessage="1" sqref="E2" xr:uid="{00000000-0002-0000-2B00-000004000000}">
      <formula1>"商业,办公,住宅,工业,公共服务"</formula1>
    </dataValidation>
    <dataValidation type="list" allowBlank="1" showInputMessage="1" showErrorMessage="1" sqref="F3" xr:uid="{00000000-0002-0000-2B00-000005000000}">
      <formula1>"宗地容积率,估价对象容积率,自定义容积率"</formula1>
    </dataValidation>
    <dataValidation type="list" allowBlank="1" showInputMessage="1" showErrorMessage="1" sqref="C8" xr:uid="{00000000-0002-0000-2B00-000006000000}">
      <formula1>商业街名称</formula1>
    </dataValidation>
    <dataValidation type="list" allowBlank="1" showInputMessage="1" showErrorMessage="1" sqref="E3" xr:uid="{00000000-0002-0000-2B00-000007000000}">
      <formula1>二级分类</formula1>
    </dataValidation>
    <dataValidation type="list" allowBlank="1" showInputMessage="1" showErrorMessage="1" sqref="C61:C69 C72:C80 C50:C58 C83:C91 C93:C101" xr:uid="{00000000-0002-0000-2B00-000008000000}">
      <formula1>五等判定</formula1>
    </dataValidation>
    <dataValidation type="list" allowBlank="1" showInputMessage="1" showErrorMessage="1" sqref="H23" xr:uid="{00000000-0002-0000-2B00-000009000000}">
      <formula1>"地价指数,季度增幅（自定义）,按公示增长率计算"</formula1>
    </dataValidation>
    <dataValidation type="list" allowBlank="1" showInputMessage="1" showErrorMessage="1" sqref="H20:O20" xr:uid="{00000000-0002-0000-2B00-00000A000000}">
      <formula1>七通一平</formula1>
    </dataValidation>
    <dataValidation type="list" allowBlank="1" showInputMessage="1" showErrorMessage="1" sqref="J23" xr:uid="{00000000-0002-0000-2B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2936">
        <f>基准地价修正!G23</f>
        <v>45544</v>
      </c>
      <c r="B1" s="2928" t="s">
        <v>3371</v>
      </c>
      <c r="C1" s="2929"/>
      <c r="D1" s="2929"/>
      <c r="E1" s="2929"/>
      <c r="F1" s="2929"/>
      <c r="G1" s="2929"/>
      <c r="H1" s="2929"/>
      <c r="I1" s="2929"/>
      <c r="J1" s="2895"/>
      <c r="K1" s="2929" t="s">
        <v>454</v>
      </c>
      <c r="L1" s="2929"/>
      <c r="M1" s="2929"/>
      <c r="N1" s="2929"/>
      <c r="O1" s="2929"/>
      <c r="P1" s="2929"/>
      <c r="Q1" s="2895"/>
      <c r="R1" s="3474" t="s">
        <v>456</v>
      </c>
      <c r="S1" s="3475"/>
      <c r="T1" s="3475"/>
      <c r="U1" s="3475"/>
      <c r="V1" s="3475"/>
      <c r="W1" s="3475"/>
      <c r="X1" s="2895"/>
      <c r="Y1" s="3474" t="s">
        <v>457</v>
      </c>
      <c r="Z1" s="3475"/>
      <c r="AA1" s="3475"/>
      <c r="AB1" s="3475"/>
      <c r="AC1" s="3475"/>
      <c r="AD1" s="3475"/>
    </row>
    <row r="2" spans="1:30" s="2009" customFormat="1" ht="14.25" thickBot="1">
      <c r="B2" s="2880"/>
      <c r="C2" s="2881"/>
      <c r="D2" s="2010" t="s">
        <v>2810</v>
      </c>
      <c r="E2" s="2011" t="s">
        <v>2811</v>
      </c>
      <c r="F2" s="2011" t="s">
        <v>2812</v>
      </c>
      <c r="G2" s="2011" t="s">
        <v>2813</v>
      </c>
      <c r="H2" s="2011" t="s">
        <v>2814</v>
      </c>
      <c r="I2" s="2011" t="s">
        <v>2631</v>
      </c>
      <c r="J2" s="2882"/>
      <c r="K2" s="2010" t="s">
        <v>2810</v>
      </c>
      <c r="L2" s="2011" t="s">
        <v>2811</v>
      </c>
      <c r="M2" s="2011" t="s">
        <v>2812</v>
      </c>
      <c r="N2" s="2011" t="s">
        <v>2813</v>
      </c>
      <c r="O2" s="2011" t="s">
        <v>2815</v>
      </c>
      <c r="P2" s="2011" t="s">
        <v>2631</v>
      </c>
      <c r="Q2" s="2882"/>
      <c r="R2" s="2010" t="s">
        <v>2810</v>
      </c>
      <c r="S2" s="2011" t="s">
        <v>2811</v>
      </c>
      <c r="T2" s="2011" t="s">
        <v>2812</v>
      </c>
      <c r="U2" s="2011" t="s">
        <v>2816</v>
      </c>
      <c r="V2" s="2011" t="s">
        <v>2817</v>
      </c>
      <c r="W2" s="2011" t="s">
        <v>2631</v>
      </c>
      <c r="X2" s="2882"/>
      <c r="Y2" s="2010" t="s">
        <v>2810</v>
      </c>
      <c r="Z2" s="2011" t="s">
        <v>2811</v>
      </c>
      <c r="AA2" s="2011" t="s">
        <v>2812</v>
      </c>
      <c r="AB2" s="2011" t="s">
        <v>2818</v>
      </c>
      <c r="AC2" s="2011" t="s">
        <v>2817</v>
      </c>
      <c r="AD2" s="2011" t="s">
        <v>2631</v>
      </c>
    </row>
    <row r="3" spans="1:30" s="2885" customFormat="1" ht="12.75">
      <c r="A3" s="2883" t="s">
        <v>2819</v>
      </c>
      <c r="B3" s="2884"/>
      <c r="D3" s="2885">
        <f>ROUND(AVERAGEIF(D4:D19,"&lt;&gt;0"),2)</f>
        <v>0.59</v>
      </c>
      <c r="E3" s="2885">
        <f t="shared" ref="E3:H3" si="0">ROUND(AVERAGEIF(E4:E19,"&lt;&gt;0"),2)</f>
        <v>0.36</v>
      </c>
      <c r="F3" s="2885">
        <f t="shared" si="0"/>
        <v>0.06</v>
      </c>
      <c r="G3" s="2885">
        <f t="shared" si="0"/>
        <v>0.6</v>
      </c>
      <c r="H3" s="2885">
        <f t="shared" si="0"/>
        <v>0.6</v>
      </c>
      <c r="I3" s="2885">
        <f>F3</f>
        <v>0.06</v>
      </c>
      <c r="J3" s="2886"/>
      <c r="K3" s="2887">
        <f>ROUND(AVERAGEIF(K4:K19,"&lt;&gt;0"),4)</f>
        <v>5.8999999999999999E-3</v>
      </c>
      <c r="L3" s="2888">
        <f t="shared" ref="L3:O3" si="1">ROUND(AVERAGEIF(L4:L19,"&lt;&gt;0"),4)</f>
        <v>3.5999999999999999E-3</v>
      </c>
      <c r="M3" s="2888">
        <f t="shared" si="1"/>
        <v>5.9999999999999995E-4</v>
      </c>
      <c r="N3" s="2888">
        <f t="shared" si="1"/>
        <v>6.0000000000000001E-3</v>
      </c>
      <c r="O3" s="2888">
        <f t="shared" si="1"/>
        <v>6.0000000000000001E-3</v>
      </c>
      <c r="P3" s="2888">
        <f>M3</f>
        <v>5.9999999999999995E-4</v>
      </c>
      <c r="Q3" s="2886"/>
      <c r="R3" s="2889">
        <f>ROUND(SUMPRODUCT(PRODUCT(1+K4:K19)),4)</f>
        <v>1.0852999999999999</v>
      </c>
      <c r="S3" s="2890">
        <f t="shared" ref="S3:V3" si="2">ROUND(SUMPRODUCT(PRODUCT(1+L4:L19)),4)</f>
        <v>1.0513999999999999</v>
      </c>
      <c r="T3" s="2890">
        <f t="shared" si="2"/>
        <v>1.0083</v>
      </c>
      <c r="U3" s="2890">
        <f t="shared" si="2"/>
        <v>1.0871999999999999</v>
      </c>
      <c r="V3" s="2890">
        <f t="shared" si="2"/>
        <v>1.0880000000000001</v>
      </c>
      <c r="W3" s="2889">
        <f>T3</f>
        <v>1.0083</v>
      </c>
      <c r="X3" s="2886"/>
      <c r="Y3" s="2891">
        <f>ROUND(AVERAGEIF(Y6:Y19,"&lt;&gt;0"),4)</f>
        <v>8.3999999999999995E-3</v>
      </c>
      <c r="Z3" s="2892">
        <f t="shared" ref="Z3:AC3" si="3">ROUND(AVERAGEIF(Z6:Z19,"&lt;&gt;0"),4)</f>
        <v>3.5000000000000001E-3</v>
      </c>
      <c r="AA3" s="2893">
        <f t="shared" si="3"/>
        <v>8.0000000000000004E-4</v>
      </c>
      <c r="AB3" s="2891">
        <f t="shared" si="3"/>
        <v>9.1000000000000004E-3</v>
      </c>
      <c r="AC3" s="2894">
        <f t="shared" si="3"/>
        <v>6.1000000000000004E-3</v>
      </c>
      <c r="AD3" s="2891">
        <f>AA3</f>
        <v>8.0000000000000004E-4</v>
      </c>
    </row>
    <row r="4" spans="1:30" s="2008" customFormat="1" ht="12.75">
      <c r="B4" s="2024"/>
      <c r="J4" s="2895"/>
      <c r="K4" s="2896"/>
      <c r="L4" s="2897"/>
      <c r="M4" s="2897"/>
      <c r="N4" s="2897"/>
      <c r="O4" s="2897"/>
      <c r="P4" s="2897"/>
      <c r="Q4" s="2895"/>
      <c r="R4" s="2026"/>
      <c r="S4" s="2898"/>
      <c r="T4" s="2899"/>
      <c r="U4" s="2026"/>
      <c r="V4" s="2900"/>
      <c r="W4" s="2026"/>
      <c r="X4" s="2895"/>
      <c r="Y4" s="2027"/>
      <c r="Z4" s="2901"/>
      <c r="AA4" s="2902"/>
      <c r="AB4" s="2027"/>
      <c r="AC4" s="2903"/>
      <c r="AD4" s="2027"/>
    </row>
    <row r="5" spans="1:30" s="2044" customFormat="1" ht="12.75">
      <c r="A5" s="2039" t="s">
        <v>3377</v>
      </c>
      <c r="B5" s="2030">
        <v>2024</v>
      </c>
      <c r="C5" s="2041">
        <v>3</v>
      </c>
      <c r="D5" s="2006">
        <v>0</v>
      </c>
      <c r="E5" s="2006">
        <v>0</v>
      </c>
      <c r="F5" s="2006">
        <v>0</v>
      </c>
      <c r="G5" s="2006">
        <v>0</v>
      </c>
      <c r="H5" s="2006">
        <v>0</v>
      </c>
      <c r="I5" s="2007">
        <f t="shared" ref="I5" si="4">F5</f>
        <v>0</v>
      </c>
      <c r="J5" s="2905"/>
      <c r="K5" s="2042">
        <f t="shared" ref="K5" si="5">D5/100</f>
        <v>0</v>
      </c>
      <c r="L5" s="2027">
        <f t="shared" ref="L5" si="6">E5/100</f>
        <v>0</v>
      </c>
      <c r="M5" s="2027">
        <f t="shared" ref="M5" si="7">F5/100</f>
        <v>0</v>
      </c>
      <c r="N5" s="2027">
        <f t="shared" ref="N5" si="8">G5/100</f>
        <v>0</v>
      </c>
      <c r="O5" s="2027">
        <f t="shared" ref="O5" si="9">H5/100</f>
        <v>0</v>
      </c>
      <c r="P5" s="2027">
        <f>M5</f>
        <v>0</v>
      </c>
      <c r="Q5" s="2905"/>
      <c r="R5" s="2026">
        <f>ROUND(IF(项目基本情况!$B$8="出让",SUMPRODUCT(PRODUCT(1+K5:$K$19)),SUMPRODUCT(PRODUCT(1+K5:$K$18))),4)</f>
        <v>1.0748</v>
      </c>
      <c r="S5" s="2026">
        <f>ROUND(IF(项目基本情况!$B$8="出让",SUMPRODUCT(PRODUCT(1+L5:$L$19)),SUMPRODUCT(PRODUCT(1+L5:$L$18))),4)</f>
        <v>1.0498000000000001</v>
      </c>
      <c r="T5" s="2026">
        <f>ROUND(IF(项目基本情况!$B$8="出让",SUMPRODUCT(PRODUCT(1+M5:$M$19)),SUMPRODUCT(PRODUCT(1+M5:$M$18))),4)</f>
        <v>1.0107999999999999</v>
      </c>
      <c r="U5" s="2026">
        <f>ROUND(IF(项目基本情况!$B$8="出让",SUMPRODUCT(PRODUCT(1+N5:$N$19)),SUMPRODUCT(PRODUCT(1+N5:$N$18))),4)</f>
        <v>1.0752999999999999</v>
      </c>
      <c r="V5" s="2026">
        <f>ROUND(IF(项目基本情况!$B$8="出让",SUMPRODUCT(PRODUCT(1+O5:$O$19)),SUMPRODUCT(PRODUCT(1+O5:$O$18))),4)</f>
        <v>1.0841000000000001</v>
      </c>
      <c r="W5" s="2026">
        <f>T5</f>
        <v>1.0107999999999999</v>
      </c>
      <c r="X5" s="2905"/>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5" customFormat="1" ht="12.75">
      <c r="A6" s="2906" t="s">
        <v>3378</v>
      </c>
      <c r="B6" s="2907">
        <v>2024</v>
      </c>
      <c r="C6" s="2908">
        <v>2</v>
      </c>
      <c r="D6" s="2909">
        <v>-0.59</v>
      </c>
      <c r="E6" s="2909">
        <v>-0.21</v>
      </c>
      <c r="F6" s="2909">
        <v>-1.38</v>
      </c>
      <c r="G6" s="2909">
        <v>-1.24</v>
      </c>
      <c r="H6" s="2910">
        <v>0.34</v>
      </c>
      <c r="I6" s="2911">
        <f t="shared" ref="I6:I19" si="15">F6</f>
        <v>-1.38</v>
      </c>
      <c r="J6" s="2912"/>
      <c r="K6" s="2913">
        <f t="shared" ref="K6:O19" si="16">D6/100</f>
        <v>-5.8999999999999999E-3</v>
      </c>
      <c r="L6" s="2914">
        <f t="shared" si="16"/>
        <v>-2.0999999999999999E-3</v>
      </c>
      <c r="M6" s="2914">
        <f t="shared" si="16"/>
        <v>-1.38E-2</v>
      </c>
      <c r="N6" s="2914">
        <f t="shared" si="16"/>
        <v>-1.24E-2</v>
      </c>
      <c r="O6" s="2914">
        <f t="shared" si="16"/>
        <v>3.4000000000000002E-3</v>
      </c>
      <c r="P6" s="2914">
        <f>M6</f>
        <v>-1.38E-2</v>
      </c>
      <c r="Q6" s="2912"/>
      <c r="R6" s="2912">
        <f>ROUND(IF(项目基本情况!$B$8="出让",SUMPRODUCT(PRODUCT(1+K6:$K$19)),SUMPRODUCT(PRODUCT(1+K6:$K$18))),4)</f>
        <v>1.0748</v>
      </c>
      <c r="S6" s="2912">
        <f>ROUND(IF(项目基本情况!$B$8="出让",SUMPRODUCT(PRODUCT(1+L6:$L$19)),SUMPRODUCT(PRODUCT(1+L6:$L$18))),4)</f>
        <v>1.0498000000000001</v>
      </c>
      <c r="T6" s="2912">
        <f>ROUND(IF(项目基本情况!$B$8="出让",SUMPRODUCT(PRODUCT(1+M6:$M$19)),SUMPRODUCT(PRODUCT(1+M6:$M$18))),4)</f>
        <v>1.0107999999999999</v>
      </c>
      <c r="U6" s="2912">
        <f>ROUND(IF(项目基本情况!$B$8="出让",SUMPRODUCT(PRODUCT(1+N6:$N$19)),SUMPRODUCT(PRODUCT(1+N6:$N$18))),4)</f>
        <v>1.0752999999999999</v>
      </c>
      <c r="V6" s="2912">
        <f>ROUND(IF(项目基本情况!$B$8="出让",SUMPRODUCT(PRODUCT(1+O6:$O$19)),SUMPRODUCT(PRODUCT(1+O6:$O$18))),4)</f>
        <v>1.0841000000000001</v>
      </c>
      <c r="W6" s="2912">
        <f>T6</f>
        <v>1.0107999999999999</v>
      </c>
      <c r="X6" s="2912"/>
      <c r="Y6" s="2914">
        <f>IF(D6=0,0,ROUND(AVERAGE(D6:D19)/100,4))</f>
        <v>5.8999999999999999E-3</v>
      </c>
      <c r="Z6" s="2914">
        <f t="shared" ref="Z6:AC6" si="17">IF(E6=0,0,ROUND(AVERAGE(E6:E19)/100,4))</f>
        <v>3.5999999999999999E-3</v>
      </c>
      <c r="AA6" s="2914">
        <f t="shared" si="17"/>
        <v>5.9999999999999995E-4</v>
      </c>
      <c r="AB6" s="2914">
        <f t="shared" si="17"/>
        <v>6.0000000000000001E-3</v>
      </c>
      <c r="AC6" s="2914">
        <f t="shared" si="17"/>
        <v>6.0000000000000001E-3</v>
      </c>
      <c r="AD6" s="2914">
        <f t="shared" ref="AD6:AD18" si="18">AA6</f>
        <v>5.9999999999999995E-4</v>
      </c>
    </row>
    <row r="7" spans="1:30" s="2044" customFormat="1" ht="12.75">
      <c r="A7" s="2904" t="s">
        <v>3380</v>
      </c>
      <c r="B7" s="2030">
        <v>2024</v>
      </c>
      <c r="C7" s="2041">
        <v>1</v>
      </c>
      <c r="D7" s="2006">
        <v>0.08</v>
      </c>
      <c r="E7" s="2006">
        <v>0.46</v>
      </c>
      <c r="F7" s="2006">
        <v>-0.16</v>
      </c>
      <c r="G7" s="2006">
        <v>0.26</v>
      </c>
      <c r="H7" s="2916">
        <v>0.59</v>
      </c>
      <c r="I7" s="2007">
        <v>0</v>
      </c>
      <c r="J7" s="2905"/>
      <c r="K7" s="2042">
        <f t="shared" ref="K7" si="19">D7/100</f>
        <v>8.0000000000000004E-4</v>
      </c>
      <c r="L7" s="2027">
        <f t="shared" ref="L7" si="20">E7/100</f>
        <v>4.5999999999999999E-3</v>
      </c>
      <c r="M7" s="2027">
        <f t="shared" ref="M7" si="21">F7/100</f>
        <v>-1.6000000000000001E-3</v>
      </c>
      <c r="N7" s="2027">
        <f t="shared" ref="N7" si="22">G7/100</f>
        <v>2.5999999999999999E-3</v>
      </c>
      <c r="O7" s="2027">
        <f t="shared" ref="O7" si="23">H7/100</f>
        <v>5.8999999999999999E-3</v>
      </c>
      <c r="P7" s="2027">
        <f t="shared" ref="P7" si="24">M7</f>
        <v>-1.6000000000000001E-3</v>
      </c>
      <c r="Q7" s="2905"/>
      <c r="R7" s="2026">
        <f>ROUND(IF(项目基本情况!$B$8="出让",SUMPRODUCT(PRODUCT(1+K7:$K$19)),SUMPRODUCT(PRODUCT(1+K7:$K$18))),4)</f>
        <v>1.0811999999999999</v>
      </c>
      <c r="S7" s="2026">
        <f>ROUND(IF(项目基本情况!$B$8="出让",SUMPRODUCT(PRODUCT(1+L7:$L$19)),SUMPRODUCT(PRODUCT(1+L7:$L$18))),4)</f>
        <v>1.052</v>
      </c>
      <c r="T7" s="2026">
        <f>ROUND(IF(项目基本情况!$B$8="出让",SUMPRODUCT(PRODUCT(1+M7:$M$19)),SUMPRODUCT(PRODUCT(1+M7:$M$18))),4)</f>
        <v>1.0249999999999999</v>
      </c>
      <c r="U7" s="2026">
        <f>ROUND(IF(项目基本情况!$B$8="出让",SUMPRODUCT(PRODUCT(1+N7:$N$19)),SUMPRODUCT(PRODUCT(1+N7:$N$18))),4)</f>
        <v>1.0888</v>
      </c>
      <c r="V7" s="2026">
        <f>ROUND(IF(项目基本情况!$B$8="出让",SUMPRODUCT(PRODUCT(1+O7:$O$19)),SUMPRODUCT(PRODUCT(1+O7:$O$18))),4)</f>
        <v>1.0804</v>
      </c>
      <c r="W7" s="2026">
        <f t="shared" ref="W7" si="25">T7</f>
        <v>1.0249999999999999</v>
      </c>
      <c r="X7" s="2905"/>
      <c r="Y7" s="2027"/>
      <c r="Z7" s="2027"/>
      <c r="AA7" s="2027"/>
      <c r="AB7" s="2027"/>
      <c r="AC7" s="2027"/>
      <c r="AD7" s="2027"/>
    </row>
    <row r="8" spans="1:30" s="2044" customFormat="1" ht="12.75">
      <c r="A8" s="2904" t="s">
        <v>3375</v>
      </c>
      <c r="B8" s="2030">
        <v>2023</v>
      </c>
      <c r="C8" s="2041">
        <v>4</v>
      </c>
      <c r="D8" s="2006">
        <v>0.19</v>
      </c>
      <c r="E8" s="2006">
        <v>0.24</v>
      </c>
      <c r="F8" s="2006">
        <v>-0.16</v>
      </c>
      <c r="G8" s="2006">
        <v>0.17</v>
      </c>
      <c r="H8" s="2916">
        <v>0.61</v>
      </c>
      <c r="I8" s="2007">
        <f>F8</f>
        <v>-0.16</v>
      </c>
      <c r="J8" s="2905"/>
      <c r="K8" s="2042">
        <f t="shared" si="16"/>
        <v>1.9E-3</v>
      </c>
      <c r="L8" s="2027">
        <f t="shared" si="16"/>
        <v>2.3999999999999998E-3</v>
      </c>
      <c r="M8" s="2027">
        <f t="shared" si="16"/>
        <v>-1.6000000000000001E-3</v>
      </c>
      <c r="N8" s="2027">
        <f t="shared" si="16"/>
        <v>1.7000000000000001E-3</v>
      </c>
      <c r="O8" s="2027">
        <f t="shared" si="16"/>
        <v>6.0999999999999995E-3</v>
      </c>
      <c r="P8" s="2027">
        <f t="shared" ref="P8" si="26">M8</f>
        <v>-1.6000000000000001E-3</v>
      </c>
      <c r="Q8" s="2905"/>
      <c r="R8" s="2026">
        <f>ROUND(IF(项目基本情况!$B$8="出让",SUMPRODUCT(PRODUCT(1+K8:$K$19)),SUMPRODUCT(PRODUCT(1+K8:$K$18))),4)</f>
        <v>1.0804</v>
      </c>
      <c r="S8" s="2026">
        <f>ROUND(IF(项目基本情况!$B$8="出让",SUMPRODUCT(PRODUCT(1+L8:$L$19)),SUMPRODUCT(PRODUCT(1+L8:$L$18))),4)</f>
        <v>1.0471999999999999</v>
      </c>
      <c r="T8" s="2026">
        <f>ROUND(IF(项目基本情况!$B$8="出让",SUMPRODUCT(PRODUCT(1+M8:$M$19)),SUMPRODUCT(PRODUCT(1+M8:$M$18))),4)</f>
        <v>1.0266</v>
      </c>
      <c r="U8" s="2026">
        <f>ROUND(IF(项目基本情况!$B$8="出让",SUMPRODUCT(PRODUCT(1+N8:$N$19)),SUMPRODUCT(PRODUCT(1+N8:$N$18))),4)</f>
        <v>1.0859000000000001</v>
      </c>
      <c r="V8" s="2026">
        <f>ROUND(IF(项目基本情况!$B$8="出让",SUMPRODUCT(PRODUCT(1+O8:$O$19)),SUMPRODUCT(PRODUCT(1+O8:$O$18))),4)</f>
        <v>1.0741000000000001</v>
      </c>
      <c r="W8" s="2026">
        <f t="shared" ref="W8" si="27">T8</f>
        <v>1.0266</v>
      </c>
      <c r="X8" s="2905"/>
      <c r="Y8" s="2027"/>
      <c r="Z8" s="2027"/>
      <c r="AA8" s="2027"/>
      <c r="AB8" s="2027"/>
      <c r="AC8" s="2027"/>
      <c r="AD8" s="2027"/>
    </row>
    <row r="9" spans="1:30" s="2044" customFormat="1" ht="12.75">
      <c r="A9" s="2904" t="s">
        <v>3374</v>
      </c>
      <c r="B9" s="2030">
        <v>2023</v>
      </c>
      <c r="C9" s="2041">
        <v>3</v>
      </c>
      <c r="D9" s="2006">
        <v>0.25</v>
      </c>
      <c r="E9" s="2006">
        <v>0.5</v>
      </c>
      <c r="F9" s="2006">
        <v>0.31</v>
      </c>
      <c r="G9" s="2006">
        <v>0.21</v>
      </c>
      <c r="H9" s="2916">
        <v>0.43</v>
      </c>
      <c r="I9" s="2007">
        <f t="shared" si="15"/>
        <v>0.31</v>
      </c>
      <c r="J9" s="2905"/>
      <c r="K9" s="2042">
        <f t="shared" ref="K9:K11" si="28">D9/100</f>
        <v>2.5000000000000001E-3</v>
      </c>
      <c r="L9" s="2027">
        <f t="shared" ref="L9:L11" si="29">E9/100</f>
        <v>5.0000000000000001E-3</v>
      </c>
      <c r="M9" s="2027">
        <f t="shared" ref="M9:M11" si="30">F9/100</f>
        <v>3.0999999999999999E-3</v>
      </c>
      <c r="N9" s="2027">
        <f t="shared" ref="N9:N11" si="31">G9/100</f>
        <v>2.0999999999999999E-3</v>
      </c>
      <c r="O9" s="2027">
        <f t="shared" ref="O9:O11" si="32">H9/100</f>
        <v>4.3E-3</v>
      </c>
      <c r="P9" s="2027">
        <f t="shared" ref="P9:P11" si="33">M9</f>
        <v>3.0999999999999999E-3</v>
      </c>
      <c r="Q9" s="2905"/>
      <c r="R9" s="2026">
        <f>ROUND(IF(项目基本情况!$B$8="出让",SUMPRODUCT(PRODUCT(1+K9:$K$19)),SUMPRODUCT(PRODUCT(1+K9:$K$18))),4)</f>
        <v>1.0783</v>
      </c>
      <c r="S9" s="2026">
        <f>ROUND(IF(项目基本情况!$B$8="出让",SUMPRODUCT(PRODUCT(1+L9:$L$19)),SUMPRODUCT(PRODUCT(1+L9:$L$18))),4)</f>
        <v>1.0447</v>
      </c>
      <c r="T9" s="2026">
        <f>ROUND(IF(项目基本情况!$B$8="出让",SUMPRODUCT(PRODUCT(1+M9:$M$19)),SUMPRODUCT(PRODUCT(1+M9:$M$18))),4)</f>
        <v>1.0282</v>
      </c>
      <c r="U9" s="2026">
        <f>ROUND(IF(项目基本情况!$B$8="出让",SUMPRODUCT(PRODUCT(1+N9:$N$19)),SUMPRODUCT(PRODUCT(1+N9:$N$18))),4)</f>
        <v>1.0841000000000001</v>
      </c>
      <c r="V9" s="2026">
        <f>ROUND(IF(项目基本情况!$B$8="出让",SUMPRODUCT(PRODUCT(1+O9:$O$19)),SUMPRODUCT(PRODUCT(1+O9:$O$18))),4)</f>
        <v>1.0674999999999999</v>
      </c>
      <c r="W9" s="2026">
        <f t="shared" ref="W9:W10" si="34">T9</f>
        <v>1.0282</v>
      </c>
      <c r="X9" s="2905"/>
      <c r="Y9" s="2027"/>
      <c r="Z9" s="2027"/>
      <c r="AA9" s="2027"/>
      <c r="AB9" s="2027"/>
      <c r="AC9" s="2027"/>
      <c r="AD9" s="2027"/>
    </row>
    <row r="10" spans="1:30" s="2044" customFormat="1" ht="12.75">
      <c r="A10" s="2904" t="s">
        <v>3370</v>
      </c>
      <c r="B10" s="2030">
        <v>2023</v>
      </c>
      <c r="C10" s="2041">
        <v>2</v>
      </c>
      <c r="D10" s="2006">
        <v>0.91</v>
      </c>
      <c r="E10" s="2006">
        <v>0.66</v>
      </c>
      <c r="F10" s="2006">
        <v>0.47</v>
      </c>
      <c r="G10" s="2006">
        <v>0.96</v>
      </c>
      <c r="H10" s="2916">
        <v>0.71</v>
      </c>
      <c r="I10" s="2007">
        <f t="shared" si="15"/>
        <v>0.47</v>
      </c>
      <c r="J10" s="2905"/>
      <c r="K10" s="2042">
        <f t="shared" si="28"/>
        <v>9.1000000000000004E-3</v>
      </c>
      <c r="L10" s="2027">
        <f t="shared" si="29"/>
        <v>6.6E-3</v>
      </c>
      <c r="M10" s="2027">
        <f t="shared" si="30"/>
        <v>4.6999999999999993E-3</v>
      </c>
      <c r="N10" s="2027">
        <f t="shared" si="31"/>
        <v>9.5999999999999992E-3</v>
      </c>
      <c r="O10" s="2027">
        <f t="shared" si="32"/>
        <v>7.0999999999999995E-3</v>
      </c>
      <c r="P10" s="2027">
        <f t="shared" si="33"/>
        <v>4.6999999999999993E-3</v>
      </c>
      <c r="Q10" s="2905"/>
      <c r="R10" s="2026">
        <f>ROUND(IF(项目基本情况!$B$8="出让",SUMPRODUCT(PRODUCT(1+K10:$K$19)),SUMPRODUCT(PRODUCT(1+K10:$K$18))),4)</f>
        <v>1.0755999999999999</v>
      </c>
      <c r="S10" s="2026">
        <f>ROUND(IF(项目基本情况!$B$8="出让",SUMPRODUCT(PRODUCT(1+L10:$L$19)),SUMPRODUCT(PRODUCT(1+L10:$L$18))),4)</f>
        <v>1.0395000000000001</v>
      </c>
      <c r="T10" s="2026">
        <f>ROUND(IF(项目基本情况!$B$8="出让",SUMPRODUCT(PRODUCT(1+M10:$M$19)),SUMPRODUCT(PRODUCT(1+M10:$M$18))),4)</f>
        <v>1.0250999999999999</v>
      </c>
      <c r="U10" s="2026">
        <f>ROUND(IF(项目基本情况!$B$8="出让",SUMPRODUCT(PRODUCT(1+N10:$N$19)),SUMPRODUCT(PRODUCT(1+N10:$N$18))),4)</f>
        <v>1.0818000000000001</v>
      </c>
      <c r="V10" s="2026">
        <f>ROUND(IF(项目基本情况!$B$8="出让",SUMPRODUCT(PRODUCT(1+O10:$O$19)),SUMPRODUCT(PRODUCT(1+O10:$O$18))),4)</f>
        <v>1.0629999999999999</v>
      </c>
      <c r="W10" s="2026">
        <f t="shared" si="34"/>
        <v>1.0250999999999999</v>
      </c>
      <c r="X10" s="2905"/>
      <c r="Y10" s="2027"/>
      <c r="Z10" s="2027"/>
      <c r="AA10" s="2027"/>
      <c r="AB10" s="2027"/>
      <c r="AC10" s="2027"/>
      <c r="AD10" s="2027"/>
    </row>
    <row r="11" spans="1:30" s="2044" customFormat="1" ht="12.75">
      <c r="A11" s="2904" t="s">
        <v>3369</v>
      </c>
      <c r="B11" s="2030">
        <v>2023</v>
      </c>
      <c r="C11" s="2041">
        <v>1</v>
      </c>
      <c r="D11" s="2006">
        <v>0.89</v>
      </c>
      <c r="E11" s="2006">
        <v>0.74</v>
      </c>
      <c r="F11" s="2006">
        <v>0.56999999999999995</v>
      </c>
      <c r="G11" s="2006">
        <v>0.92</v>
      </c>
      <c r="H11" s="2916">
        <v>0.5</v>
      </c>
      <c r="I11" s="2007">
        <f t="shared" si="15"/>
        <v>0.56999999999999995</v>
      </c>
      <c r="J11" s="2905"/>
      <c r="K11" s="2042">
        <f t="shared" si="28"/>
        <v>8.8999999999999999E-3</v>
      </c>
      <c r="L11" s="2027">
        <f t="shared" si="29"/>
        <v>7.4000000000000003E-3</v>
      </c>
      <c r="M11" s="2027">
        <f t="shared" si="30"/>
        <v>5.6999999999999993E-3</v>
      </c>
      <c r="N11" s="2027">
        <f t="shared" si="31"/>
        <v>9.1999999999999998E-3</v>
      </c>
      <c r="O11" s="2027">
        <f t="shared" si="32"/>
        <v>5.0000000000000001E-3</v>
      </c>
      <c r="P11" s="2027">
        <f t="shared" si="33"/>
        <v>5.6999999999999993E-3</v>
      </c>
      <c r="Q11" s="2905"/>
      <c r="R11" s="2026">
        <f>ROUND(IF(项目基本情况!$B$8="出让",SUMPRODUCT(PRODUCT(1+K11:$K$19)),SUMPRODUCT(PRODUCT(1+K11:$K$18))),4)</f>
        <v>1.0659000000000001</v>
      </c>
      <c r="S11" s="2026">
        <f>ROUND(IF(项目基本情况!$B$8="出让",SUMPRODUCT(PRODUCT(1+L11:$L$19)),SUMPRODUCT(PRODUCT(1+L11:$L$18))),4)</f>
        <v>1.0326</v>
      </c>
      <c r="T11" s="2026">
        <f>ROUND(IF(项目基本情况!$B$8="出让",SUMPRODUCT(PRODUCT(1+M11:$M$19)),SUMPRODUCT(PRODUCT(1+M11:$M$18))),4)</f>
        <v>1.0203</v>
      </c>
      <c r="U11" s="2026">
        <f>ROUND(IF(项目基本情况!$B$8="出让",SUMPRODUCT(PRODUCT(1+N11:$N$19)),SUMPRODUCT(PRODUCT(1+N11:$N$18))),4)</f>
        <v>1.0714999999999999</v>
      </c>
      <c r="V11" s="2026">
        <f>ROUND(IF(项目基本情况!$B$8="出让",SUMPRODUCT(PRODUCT(1+O11:$O$19)),SUMPRODUCT(PRODUCT(1+O11:$O$18))),4)</f>
        <v>1.0555000000000001</v>
      </c>
      <c r="W11" s="2026">
        <f t="shared" ref="W11:W18" si="35">T11</f>
        <v>1.0203</v>
      </c>
      <c r="X11" s="2905"/>
      <c r="Y11" s="2027"/>
      <c r="Z11" s="2027"/>
      <c r="AA11" s="2027"/>
      <c r="AB11" s="2027"/>
      <c r="AC11" s="2027"/>
      <c r="AD11" s="2027"/>
    </row>
    <row r="12" spans="1:30" s="2044" customFormat="1" ht="12.75">
      <c r="A12" s="2904" t="s">
        <v>3368</v>
      </c>
      <c r="B12" s="2030">
        <v>2022</v>
      </c>
      <c r="C12" s="2041">
        <v>4</v>
      </c>
      <c r="D12" s="2006">
        <v>0.62</v>
      </c>
      <c r="E12" s="2006">
        <v>0.2</v>
      </c>
      <c r="F12" s="2006">
        <v>0.11</v>
      </c>
      <c r="G12" s="2006">
        <v>0.69</v>
      </c>
      <c r="H12" s="2916">
        <v>0.53</v>
      </c>
      <c r="I12" s="2007">
        <f t="shared" si="15"/>
        <v>0.11</v>
      </c>
      <c r="J12" s="2905"/>
      <c r="K12" s="2042">
        <f t="shared" si="16"/>
        <v>6.1999999999999998E-3</v>
      </c>
      <c r="L12" s="2027">
        <f t="shared" si="16"/>
        <v>2E-3</v>
      </c>
      <c r="M12" s="2027">
        <f t="shared" si="16"/>
        <v>1.1000000000000001E-3</v>
      </c>
      <c r="N12" s="2027">
        <f t="shared" si="16"/>
        <v>6.8999999999999999E-3</v>
      </c>
      <c r="O12" s="2027">
        <f t="shared" si="16"/>
        <v>5.3E-3</v>
      </c>
      <c r="P12" s="2027">
        <f t="shared" ref="P12:P19" si="36">M12</f>
        <v>1.1000000000000001E-3</v>
      </c>
      <c r="Q12" s="2905"/>
      <c r="R12" s="2026">
        <f>ROUND(IF(项目基本情况!$B$8="出让",SUMPRODUCT(PRODUCT(1+K12:$K$19)),SUMPRODUCT(PRODUCT(1+K12:$K$18))),4)</f>
        <v>1.0565</v>
      </c>
      <c r="S12" s="2026">
        <f>ROUND(IF(项目基本情况!$B$8="出让",SUMPRODUCT(PRODUCT(1+L12:$L$19)),SUMPRODUCT(PRODUCT(1+L12:$L$18))),4)</f>
        <v>1.0250999999999999</v>
      </c>
      <c r="T12" s="2026">
        <f>ROUND(IF(项目基本情况!$B$8="出让",SUMPRODUCT(PRODUCT(1+M12:$M$19)),SUMPRODUCT(PRODUCT(1+M12:$M$18))),4)</f>
        <v>1.0145</v>
      </c>
      <c r="U12" s="2026">
        <f>ROUND(IF(项目基本情况!$B$8="出让",SUMPRODUCT(PRODUCT(1+N12:$N$19)),SUMPRODUCT(PRODUCT(1+N12:$N$18))),4)</f>
        <v>1.0618000000000001</v>
      </c>
      <c r="V12" s="2026">
        <f>ROUND(IF(项目基本情况!$B$8="出让",SUMPRODUCT(PRODUCT(1+O12:$O$19)),SUMPRODUCT(PRODUCT(1+O12:$O$18))),4)</f>
        <v>1.0502</v>
      </c>
      <c r="W12" s="2026">
        <f t="shared" si="35"/>
        <v>1.0145</v>
      </c>
      <c r="X12" s="2905"/>
      <c r="Y12" s="2027">
        <f>IF(D12=0,0,ROUND(AVERAGE(D12:D20)/100,4))</f>
        <v>8.0999999999999996E-3</v>
      </c>
      <c r="Z12" s="2027">
        <f t="shared" ref="Z12:AC12" si="37">IF(E12=0,0,ROUND(AVERAGE(E12:E19)/100,4))</f>
        <v>3.3E-3</v>
      </c>
      <c r="AA12" s="2027">
        <f t="shared" si="37"/>
        <v>1.5E-3</v>
      </c>
      <c r="AB12" s="2027">
        <f t="shared" si="37"/>
        <v>8.8999999999999999E-3</v>
      </c>
      <c r="AC12" s="2027">
        <f t="shared" si="37"/>
        <v>6.6E-3</v>
      </c>
      <c r="AD12" s="2027">
        <f t="shared" si="18"/>
        <v>1.5E-3</v>
      </c>
    </row>
    <row r="13" spans="1:30" s="2044" customFormat="1" ht="12.75">
      <c r="A13" s="2904" t="s">
        <v>3364</v>
      </c>
      <c r="B13" s="2030">
        <v>2022</v>
      </c>
      <c r="C13" s="2041">
        <v>3</v>
      </c>
      <c r="D13" s="2006">
        <v>0.66</v>
      </c>
      <c r="E13" s="2006">
        <v>0.32</v>
      </c>
      <c r="F13" s="2006">
        <v>0.23</v>
      </c>
      <c r="G13" s="2006">
        <v>0.72</v>
      </c>
      <c r="H13" s="2916">
        <v>0.63</v>
      </c>
      <c r="I13" s="2007">
        <f t="shared" si="15"/>
        <v>0.23</v>
      </c>
      <c r="J13" s="2905"/>
      <c r="K13" s="2042">
        <f t="shared" si="16"/>
        <v>6.6E-3</v>
      </c>
      <c r="L13" s="2027">
        <f t="shared" si="16"/>
        <v>3.2000000000000002E-3</v>
      </c>
      <c r="M13" s="2027">
        <f t="shared" si="16"/>
        <v>2.3E-3</v>
      </c>
      <c r="N13" s="2027">
        <f t="shared" si="16"/>
        <v>7.1999999999999998E-3</v>
      </c>
      <c r="O13" s="2027">
        <f t="shared" si="16"/>
        <v>6.3E-3</v>
      </c>
      <c r="P13" s="2027">
        <f t="shared" si="36"/>
        <v>2.3E-3</v>
      </c>
      <c r="Q13" s="2905"/>
      <c r="R13" s="2026">
        <f>ROUND(IF(项目基本情况!$B$8="出让",SUMPRODUCT(PRODUCT(1+K13:$K$19)),SUMPRODUCT(PRODUCT(1+K13:$K$18))),4)</f>
        <v>1.05</v>
      </c>
      <c r="S13" s="2026">
        <f>ROUND(IF(项目基本情况!$B$8="出让",SUMPRODUCT(PRODUCT(1+L13:$L$19)),SUMPRODUCT(PRODUCT(1+L13:$L$18))),4)</f>
        <v>1.0229999999999999</v>
      </c>
      <c r="T13" s="2026">
        <f>ROUND(IF(项目基本情况!$B$8="出让",SUMPRODUCT(PRODUCT(1+M13:$M$19)),SUMPRODUCT(PRODUCT(1+M13:$M$18))),4)</f>
        <v>1.0134000000000001</v>
      </c>
      <c r="U13" s="2026">
        <f>ROUND(IF(项目基本情况!$B$8="出让",SUMPRODUCT(PRODUCT(1+N13:$N$19)),SUMPRODUCT(PRODUCT(1+N13:$N$18))),4)</f>
        <v>1.0545</v>
      </c>
      <c r="V13" s="2026">
        <f>ROUND(IF(项目基本情况!$B$8="出让",SUMPRODUCT(PRODUCT(1+O13:$O$19)),SUMPRODUCT(PRODUCT(1+O13:$O$18))),4)</f>
        <v>1.0447</v>
      </c>
      <c r="W13" s="2026">
        <f t="shared" si="35"/>
        <v>1.0134000000000001</v>
      </c>
      <c r="X13" s="2905"/>
      <c r="Y13" s="2027">
        <f>IF(D13=0,0,ROUND(AVERAGE(D13:D19)/100,4))</f>
        <v>8.3999999999999995E-3</v>
      </c>
      <c r="Z13" s="2027">
        <f t="shared" ref="Z13:AC13" si="38">IF(E13=0,0,ROUND(AVERAGE(E13:E19)/100,4))</f>
        <v>3.5000000000000001E-3</v>
      </c>
      <c r="AA13" s="2027">
        <f t="shared" si="38"/>
        <v>1.5E-3</v>
      </c>
      <c r="AB13" s="2027">
        <f t="shared" si="38"/>
        <v>9.1999999999999998E-3</v>
      </c>
      <c r="AC13" s="2027">
        <f t="shared" si="38"/>
        <v>6.7999999999999996E-3</v>
      </c>
      <c r="AD13" s="2027">
        <f t="shared" si="18"/>
        <v>1.5E-3</v>
      </c>
    </row>
    <row r="14" spans="1:30" s="2044" customFormat="1" ht="12.75">
      <c r="A14" s="2904" t="s">
        <v>3355</v>
      </c>
      <c r="B14" s="2030">
        <v>2022</v>
      </c>
      <c r="C14" s="2041">
        <v>2</v>
      </c>
      <c r="D14" s="2006">
        <v>0.93</v>
      </c>
      <c r="E14" s="2006">
        <v>0.15</v>
      </c>
      <c r="F14" s="2006">
        <v>0.01</v>
      </c>
      <c r="G14" s="2006">
        <v>1.05</v>
      </c>
      <c r="H14" s="2916">
        <v>1.08</v>
      </c>
      <c r="I14" s="2007">
        <f t="shared" si="15"/>
        <v>0.01</v>
      </c>
      <c r="J14" s="2905"/>
      <c r="K14" s="2042">
        <f t="shared" si="16"/>
        <v>9.300000000000001E-3</v>
      </c>
      <c r="L14" s="2027">
        <f t="shared" si="16"/>
        <v>1.5E-3</v>
      </c>
      <c r="M14" s="2027">
        <f t="shared" si="16"/>
        <v>1E-4</v>
      </c>
      <c r="N14" s="2027">
        <f t="shared" si="16"/>
        <v>1.0500000000000001E-2</v>
      </c>
      <c r="O14" s="2027">
        <f t="shared" si="16"/>
        <v>1.0800000000000001E-2</v>
      </c>
      <c r="P14" s="2027">
        <f t="shared" si="36"/>
        <v>1E-4</v>
      </c>
      <c r="Q14" s="2905"/>
      <c r="R14" s="2026">
        <f>ROUND(IF(项目基本情况!$B$8="出让",SUMPRODUCT(PRODUCT(1+K14:$K$19)),SUMPRODUCT(PRODUCT(1+K14:$K$18))),4)</f>
        <v>1.0430999999999999</v>
      </c>
      <c r="S14" s="2026">
        <f>ROUND(IF(项目基本情况!$B$8="出让",SUMPRODUCT(PRODUCT(1+L14:$L$19)),SUMPRODUCT(PRODUCT(1+L14:$L$18))),4)</f>
        <v>1.0197000000000001</v>
      </c>
      <c r="T14" s="2026">
        <f>ROUND(IF(项目基本情况!$B$8="出让",SUMPRODUCT(PRODUCT(1+M14:$M$19)),SUMPRODUCT(PRODUCT(1+M14:$M$18))),4)</f>
        <v>1.0109999999999999</v>
      </c>
      <c r="U14" s="2026">
        <f>ROUND(IF(项目基本情况!$B$8="出让",SUMPRODUCT(PRODUCT(1+N14:$N$19)),SUMPRODUCT(PRODUCT(1+N14:$N$18))),4)</f>
        <v>1.0468999999999999</v>
      </c>
      <c r="V14" s="2026">
        <f>ROUND(IF(项目基本情况!$B$8="出让",SUMPRODUCT(PRODUCT(1+O14:$O$19)),SUMPRODUCT(PRODUCT(1+O14:$O$18))),4)</f>
        <v>1.0382</v>
      </c>
      <c r="W14" s="2026">
        <f t="shared" si="35"/>
        <v>1.0109999999999999</v>
      </c>
      <c r="X14" s="2905"/>
      <c r="Y14" s="2027">
        <f>IF(D14=0,0,ROUND(AVERAGE(D14:D19)/100,4))</f>
        <v>8.6999999999999994E-3</v>
      </c>
      <c r="Z14" s="2027">
        <f t="shared" ref="Z14:AC14" si="39">IF(E14=0,0,ROUND(AVERAGE(E14:E19)/100,4))</f>
        <v>3.5000000000000001E-3</v>
      </c>
      <c r="AA14" s="2027">
        <f t="shared" si="39"/>
        <v>1.4E-3</v>
      </c>
      <c r="AB14" s="2027">
        <f t="shared" si="39"/>
        <v>9.4999999999999998E-3</v>
      </c>
      <c r="AC14" s="2027">
        <f t="shared" si="39"/>
        <v>6.8999999999999999E-3</v>
      </c>
      <c r="AD14" s="2027">
        <f t="shared" si="18"/>
        <v>1.4E-3</v>
      </c>
    </row>
    <row r="15" spans="1:30" s="2044" customFormat="1" ht="12.75">
      <c r="A15" s="2904" t="s">
        <v>2820</v>
      </c>
      <c r="B15" s="2030">
        <v>2022</v>
      </c>
      <c r="C15" s="2041">
        <v>1</v>
      </c>
      <c r="D15" s="2006">
        <v>0.89</v>
      </c>
      <c r="E15" s="2006">
        <v>0.44</v>
      </c>
      <c r="F15" s="2006">
        <v>0.37</v>
      </c>
      <c r="G15" s="2006">
        <v>0.96</v>
      </c>
      <c r="H15" s="2916">
        <v>0.64</v>
      </c>
      <c r="I15" s="2007">
        <f t="shared" si="15"/>
        <v>0.37</v>
      </c>
      <c r="J15" s="2905"/>
      <c r="K15" s="2042">
        <f t="shared" si="16"/>
        <v>8.8999999999999999E-3</v>
      </c>
      <c r="L15" s="2027">
        <f t="shared" si="16"/>
        <v>4.4000000000000003E-3</v>
      </c>
      <c r="M15" s="2027">
        <f t="shared" si="16"/>
        <v>3.7000000000000002E-3</v>
      </c>
      <c r="N15" s="2027">
        <f t="shared" si="16"/>
        <v>9.5999999999999992E-3</v>
      </c>
      <c r="O15" s="2027">
        <f t="shared" si="16"/>
        <v>6.4000000000000003E-3</v>
      </c>
      <c r="P15" s="2027">
        <f t="shared" si="36"/>
        <v>3.7000000000000002E-3</v>
      </c>
      <c r="Q15" s="2905"/>
      <c r="R15" s="2026">
        <f>ROUND(IF(项目基本情况!$B$8="出让",SUMPRODUCT(PRODUCT(1+K15:$K$19)),SUMPRODUCT(PRODUCT(1+K15:$K$18))),4)</f>
        <v>1.0335000000000001</v>
      </c>
      <c r="S15" s="2026">
        <f>ROUND(IF(项目基本情况!$B$8="出让",SUMPRODUCT(PRODUCT(1+L15:$L$19)),SUMPRODUCT(PRODUCT(1+L15:$L$18))),4)</f>
        <v>1.0182</v>
      </c>
      <c r="T15" s="2026">
        <f>ROUND(IF(项目基本情况!$B$8="出让",SUMPRODUCT(PRODUCT(1+M15:$M$19)),SUMPRODUCT(PRODUCT(1+M15:$M$18))),4)</f>
        <v>1.0108999999999999</v>
      </c>
      <c r="U15" s="2026">
        <f>ROUND(IF(项目基本情况!$B$8="出让",SUMPRODUCT(PRODUCT(1+N15:$N$19)),SUMPRODUCT(PRODUCT(1+N15:$N$18))),4)</f>
        <v>1.0361</v>
      </c>
      <c r="V15" s="2026">
        <f>ROUND(IF(项目基本情况!$B$8="出让",SUMPRODUCT(PRODUCT(1+O15:$O$19)),SUMPRODUCT(PRODUCT(1+O15:$O$18))),4)</f>
        <v>1.0270999999999999</v>
      </c>
      <c r="W15" s="2026">
        <f t="shared" si="35"/>
        <v>1.0108999999999999</v>
      </c>
      <c r="X15" s="2905"/>
      <c r="Y15" s="2027">
        <f>IF(D15=0,0,ROUND(AVERAGE(D15:D19)/100,4))</f>
        <v>8.6E-3</v>
      </c>
      <c r="Z15" s="2027">
        <f t="shared" ref="Z15:AC15" si="40">IF(E15=0,0,ROUND(AVERAGE(E15:E19)/100,4))</f>
        <v>3.8999999999999998E-3</v>
      </c>
      <c r="AA15" s="2027">
        <f t="shared" si="40"/>
        <v>1.6999999999999999E-3</v>
      </c>
      <c r="AB15" s="2027">
        <f t="shared" si="40"/>
        <v>9.2999999999999992E-3</v>
      </c>
      <c r="AC15" s="2027">
        <f t="shared" si="40"/>
        <v>6.1000000000000004E-3</v>
      </c>
      <c r="AD15" s="2027">
        <f t="shared" si="18"/>
        <v>1.6999999999999999E-3</v>
      </c>
    </row>
    <row r="16" spans="1:30" s="2044" customFormat="1" ht="12.75">
      <c r="A16" s="2904" t="s">
        <v>2821</v>
      </c>
      <c r="B16" s="2030">
        <v>2021</v>
      </c>
      <c r="C16" s="2041">
        <v>4</v>
      </c>
      <c r="D16" s="2006">
        <v>1.03</v>
      </c>
      <c r="E16" s="2006">
        <v>0.24</v>
      </c>
      <c r="F16" s="2006">
        <v>7.0000000000000007E-2</v>
      </c>
      <c r="G16" s="2006">
        <v>1.17</v>
      </c>
      <c r="H16" s="2916">
        <v>0.55000000000000004</v>
      </c>
      <c r="I16" s="2007">
        <f t="shared" si="15"/>
        <v>7.0000000000000007E-2</v>
      </c>
      <c r="J16" s="2905"/>
      <c r="K16" s="2042">
        <f t="shared" si="16"/>
        <v>1.03E-2</v>
      </c>
      <c r="L16" s="2027">
        <f t="shared" si="16"/>
        <v>2.3999999999999998E-3</v>
      </c>
      <c r="M16" s="2027">
        <f t="shared" si="16"/>
        <v>7.000000000000001E-4</v>
      </c>
      <c r="N16" s="2027">
        <f t="shared" si="16"/>
        <v>1.1699999999999999E-2</v>
      </c>
      <c r="O16" s="2027">
        <f t="shared" si="16"/>
        <v>5.5000000000000005E-3</v>
      </c>
      <c r="P16" s="2027">
        <f t="shared" si="36"/>
        <v>7.000000000000001E-4</v>
      </c>
      <c r="Q16" s="2905"/>
      <c r="R16" s="2026">
        <f>ROUND(IF(项目基本情况!$B$8="出让",SUMPRODUCT(PRODUCT(1+K16:$K$19)),SUMPRODUCT(PRODUCT(1+K16:$K$18))),4)</f>
        <v>1.0244</v>
      </c>
      <c r="S16" s="2026">
        <f>ROUND(IF(项目基本情况!$B$8="出让",SUMPRODUCT(PRODUCT(1+L16:$L$19)),SUMPRODUCT(PRODUCT(1+L16:$L$18))),4)</f>
        <v>1.0138</v>
      </c>
      <c r="T16" s="2026">
        <f>ROUND(IF(项目基本情况!$B$8="出让",SUMPRODUCT(PRODUCT(1+M16:$M$19)),SUMPRODUCT(PRODUCT(1+M16:$M$18))),4)</f>
        <v>1.0072000000000001</v>
      </c>
      <c r="U16" s="2026">
        <f>ROUND(IF(项目基本情况!$B$8="出让",SUMPRODUCT(PRODUCT(1+N16:$N$19)),SUMPRODUCT(PRODUCT(1+N16:$N$18))),4)</f>
        <v>1.0262</v>
      </c>
      <c r="V16" s="2026">
        <f>ROUND(IF(项目基本情况!$B$8="出让",SUMPRODUCT(PRODUCT(1+O16:$O$19)),SUMPRODUCT(PRODUCT(1+O16:$O$18))),4)</f>
        <v>1.0205</v>
      </c>
      <c r="W16" s="2026">
        <f t="shared" si="35"/>
        <v>1.0072000000000001</v>
      </c>
      <c r="X16" s="2905"/>
      <c r="Y16" s="2027">
        <f>IF(D16=0,0,ROUND(AVERAGE(D16:D19)/100,4))</f>
        <v>8.5000000000000006E-3</v>
      </c>
      <c r="Z16" s="2027">
        <f t="shared" ref="Z16:AC16" si="41">IF(E16=0,0,ROUND(AVERAGE(E16:E19)/100,4))</f>
        <v>3.8E-3</v>
      </c>
      <c r="AA16" s="2027">
        <f t="shared" si="41"/>
        <v>1.1999999999999999E-3</v>
      </c>
      <c r="AB16" s="2027">
        <f t="shared" si="41"/>
        <v>9.2999999999999992E-3</v>
      </c>
      <c r="AC16" s="2027">
        <f t="shared" si="41"/>
        <v>6.0000000000000001E-3</v>
      </c>
      <c r="AD16" s="2027">
        <f t="shared" si="18"/>
        <v>1.1999999999999999E-3</v>
      </c>
    </row>
    <row r="17" spans="1:30" s="2044" customFormat="1" ht="12.75">
      <c r="A17" s="2904" t="s">
        <v>2822</v>
      </c>
      <c r="B17" s="2030">
        <v>2021</v>
      </c>
      <c r="C17" s="2041">
        <v>3</v>
      </c>
      <c r="D17" s="2006">
        <v>0.47</v>
      </c>
      <c r="E17" s="2006">
        <v>0.41</v>
      </c>
      <c r="F17" s="2006">
        <v>0.24</v>
      </c>
      <c r="G17" s="2006">
        <v>0.48</v>
      </c>
      <c r="H17" s="2916">
        <v>0.48</v>
      </c>
      <c r="I17" s="2007">
        <f t="shared" si="15"/>
        <v>0.24</v>
      </c>
      <c r="J17" s="2905"/>
      <c r="K17" s="2042">
        <f t="shared" si="16"/>
        <v>4.6999999999999993E-3</v>
      </c>
      <c r="L17" s="2027">
        <f t="shared" si="16"/>
        <v>4.0999999999999995E-3</v>
      </c>
      <c r="M17" s="2027">
        <f t="shared" si="16"/>
        <v>2.3999999999999998E-3</v>
      </c>
      <c r="N17" s="2027">
        <f t="shared" si="16"/>
        <v>4.7999999999999996E-3</v>
      </c>
      <c r="O17" s="2027">
        <f t="shared" si="16"/>
        <v>4.7999999999999996E-3</v>
      </c>
      <c r="P17" s="2027">
        <f t="shared" si="36"/>
        <v>2.3999999999999998E-3</v>
      </c>
      <c r="Q17" s="2905"/>
      <c r="R17" s="2026">
        <f>ROUND(IF(项目基本情况!$B$8="出让",SUMPRODUCT(PRODUCT(1+K17:$K$19)),SUMPRODUCT(PRODUCT(1+K17:$K$18))),4)</f>
        <v>1.0139</v>
      </c>
      <c r="S17" s="2026">
        <f>ROUND(IF(项目基本情况!$B$8="出让",SUMPRODUCT(PRODUCT(1+L17:$L$19)),SUMPRODUCT(PRODUCT(1+L17:$L$18))),4)</f>
        <v>1.0113000000000001</v>
      </c>
      <c r="T17" s="2026">
        <f>ROUND(IF(项目基本情况!$B$8="出让",SUMPRODUCT(PRODUCT(1+M17:$M$19)),SUMPRODUCT(PRODUCT(1+M17:$M$18))),4)</f>
        <v>1.0065</v>
      </c>
      <c r="U17" s="2026">
        <f>ROUND(IF(项目基本情况!$B$8="出让",SUMPRODUCT(PRODUCT(1+N17:$N$19)),SUMPRODUCT(PRODUCT(1+N17:$N$18))),4)</f>
        <v>1.0143</v>
      </c>
      <c r="V17" s="2026">
        <f>ROUND(IF(项目基本情况!$B$8="出让",SUMPRODUCT(PRODUCT(1+O17:$O$19)),SUMPRODUCT(PRODUCT(1+O17:$O$18))),4)</f>
        <v>1.0148999999999999</v>
      </c>
      <c r="W17" s="2026">
        <f t="shared" si="35"/>
        <v>1.0065</v>
      </c>
      <c r="X17" s="2905"/>
      <c r="Y17" s="2027">
        <f>IF(D17=0,0,ROUND(AVERAGE(D17:D19)/100,4))</f>
        <v>7.9000000000000008E-3</v>
      </c>
      <c r="Z17" s="2027">
        <f>IF(E17=0,0,ROUND(AVERAGE(E17:E19)/100,4))</f>
        <v>4.3E-3</v>
      </c>
      <c r="AA17" s="2027">
        <f>IF(F17=0,0,ROUND(AVERAGE(F17:F19)/100,4))</f>
        <v>1.2999999999999999E-3</v>
      </c>
      <c r="AB17" s="2027">
        <f>IF(G17=0,0,ROUND(AVERAGE(G17:G19)/100,4))</f>
        <v>8.5000000000000006E-3</v>
      </c>
      <c r="AC17" s="2027">
        <f>IF(H17=0,0,ROUND(AVERAGE(H17:H19)/100,4))</f>
        <v>6.1999999999999998E-3</v>
      </c>
      <c r="AD17" s="2027">
        <f t="shared" si="18"/>
        <v>1.2999999999999999E-3</v>
      </c>
    </row>
    <row r="18" spans="1:30" s="2044" customFormat="1" ht="12.75">
      <c r="A18" s="2904" t="s">
        <v>2823</v>
      </c>
      <c r="B18" s="2030">
        <v>2021</v>
      </c>
      <c r="C18" s="2041">
        <v>2</v>
      </c>
      <c r="D18" s="2006">
        <v>0.92</v>
      </c>
      <c r="E18" s="2006">
        <v>0.72</v>
      </c>
      <c r="F18" s="2006">
        <v>0.41</v>
      </c>
      <c r="G18" s="2006">
        <v>0.95</v>
      </c>
      <c r="H18" s="2916">
        <v>1.01</v>
      </c>
      <c r="I18" s="2007">
        <f t="shared" si="15"/>
        <v>0.41</v>
      </c>
      <c r="J18" s="2905"/>
      <c r="K18" s="2042">
        <f t="shared" si="16"/>
        <v>9.1999999999999998E-3</v>
      </c>
      <c r="L18" s="2027">
        <f t="shared" si="16"/>
        <v>7.1999999999999998E-3</v>
      </c>
      <c r="M18" s="2027">
        <f t="shared" si="16"/>
        <v>4.0999999999999995E-3</v>
      </c>
      <c r="N18" s="2027">
        <f t="shared" si="16"/>
        <v>9.4999999999999998E-3</v>
      </c>
      <c r="O18" s="2027">
        <f t="shared" si="16"/>
        <v>1.01E-2</v>
      </c>
      <c r="P18" s="2027">
        <f t="shared" si="36"/>
        <v>4.0999999999999995E-3</v>
      </c>
      <c r="Q18" s="2905"/>
      <c r="R18" s="2026">
        <f>ROUND(IF(项目基本情况!$B$8="出让",SUMPRODUCT(PRODUCT(1+K18:$K$19)),SUMPRODUCT(PRODUCT(1+K18:$K$18))),4)</f>
        <v>1.0092000000000001</v>
      </c>
      <c r="S18" s="2026">
        <f>ROUND(IF(项目基本情况!$B$8="出让",SUMPRODUCT(PRODUCT(1+L18:$L$19)),SUMPRODUCT(PRODUCT(1+L18:$L$18))),4)</f>
        <v>1.0072000000000001</v>
      </c>
      <c r="T18" s="2026">
        <f>ROUND(IF(项目基本情况!$B$8="出让",SUMPRODUCT(PRODUCT(1+M18:$M$19)),SUMPRODUCT(PRODUCT(1+M18:$M$18))),4)</f>
        <v>1.0041</v>
      </c>
      <c r="U18" s="2026">
        <f>ROUND(IF(项目基本情况!$B$8="出让",SUMPRODUCT(PRODUCT(1+N18:$N$19)),SUMPRODUCT(PRODUCT(1+N18:$N$18))),4)</f>
        <v>1.0095000000000001</v>
      </c>
      <c r="V18" s="2026">
        <f>ROUND(IF(项目基本情况!$B$8="出让",SUMPRODUCT(PRODUCT(1+O18:$O$19)),SUMPRODUCT(PRODUCT(1+O18:$O$18))),4)</f>
        <v>1.0101</v>
      </c>
      <c r="W18" s="2026">
        <f t="shared" si="35"/>
        <v>1.0041</v>
      </c>
      <c r="X18" s="2905"/>
      <c r="Y18" s="2027">
        <f>IF(D18=0,0,ROUND(AVERAGE(D18:D19)/100,4))</f>
        <v>9.4999999999999998E-3</v>
      </c>
      <c r="Z18" s="2027">
        <f>IF(E18=0,0,ROUND(AVERAGE(E18:E19)/100,4))</f>
        <v>4.4000000000000003E-3</v>
      </c>
      <c r="AA18" s="2027">
        <f>IF(F18=0,0,ROUND(AVERAGE(F18:F19)/100,4))</f>
        <v>8.0000000000000004E-4</v>
      </c>
      <c r="AB18" s="2027">
        <f>IF(G18=0,0,ROUND(AVERAGE(G18:G19)/100,4))</f>
        <v>1.03E-2</v>
      </c>
      <c r="AC18" s="2027">
        <f>IF(H18=0,0,ROUND(AVERAGE(H18:H19)/100,4))</f>
        <v>6.8999999999999999E-3</v>
      </c>
      <c r="AD18" s="2027">
        <f t="shared" si="18"/>
        <v>8.0000000000000004E-4</v>
      </c>
    </row>
    <row r="19" spans="1:30" s="2927" customFormat="1" thickBot="1">
      <c r="A19" s="2917" t="s">
        <v>2824</v>
      </c>
      <c r="B19" s="2918">
        <v>2021</v>
      </c>
      <c r="C19" s="2919">
        <v>1</v>
      </c>
      <c r="D19" s="2920">
        <v>0.97</v>
      </c>
      <c r="E19" s="2920">
        <v>0.16</v>
      </c>
      <c r="F19" s="2920">
        <v>-0.25</v>
      </c>
      <c r="G19" s="2920">
        <v>1.1100000000000001</v>
      </c>
      <c r="H19" s="2921">
        <v>0.36</v>
      </c>
      <c r="I19" s="2922">
        <f t="shared" si="15"/>
        <v>-0.25</v>
      </c>
      <c r="J19" s="2923"/>
      <c r="K19" s="2924">
        <f t="shared" si="16"/>
        <v>9.7000000000000003E-3</v>
      </c>
      <c r="L19" s="2925">
        <f t="shared" si="16"/>
        <v>1.6000000000000001E-3</v>
      </c>
      <c r="M19" s="2925">
        <f>F19/100</f>
        <v>-2.5000000000000001E-3</v>
      </c>
      <c r="N19" s="2925">
        <f t="shared" si="16"/>
        <v>1.11E-2</v>
      </c>
      <c r="O19" s="2925">
        <f t="shared" si="16"/>
        <v>3.5999999999999999E-3</v>
      </c>
      <c r="P19" s="2925">
        <f t="shared" si="36"/>
        <v>-2.5000000000000001E-3</v>
      </c>
      <c r="Q19" s="2923"/>
      <c r="R19" s="2926">
        <v>1</v>
      </c>
      <c r="S19" s="2926">
        <v>1</v>
      </c>
      <c r="T19" s="2926">
        <v>1</v>
      </c>
      <c r="U19" s="2926">
        <v>1</v>
      </c>
      <c r="V19" s="2926">
        <v>1</v>
      </c>
      <c r="W19" s="2926">
        <f t="shared" ref="W19" si="42">T19</f>
        <v>1</v>
      </c>
      <c r="X19" s="2923"/>
      <c r="Y19" s="2925">
        <f>IF(D19=0,0,ROUND(AVERAGE(D19:D19)/100,4))</f>
        <v>9.7000000000000003E-3</v>
      </c>
      <c r="Z19" s="2925">
        <f>IF(E19=0,0,ROUND(AVERAGE(E19:E19)/100,4))</f>
        <v>1.6000000000000001E-3</v>
      </c>
      <c r="AA19" s="2925">
        <f>IF(F19=0,0,ROUND(AVERAGE(F19:F19)/100,4))</f>
        <v>-2.5000000000000001E-3</v>
      </c>
      <c r="AB19" s="2925">
        <f>IF(G19=0,0,ROUND(AVERAGE(G19:G19)/100,4))</f>
        <v>1.11E-2</v>
      </c>
      <c r="AC19" s="2925">
        <f>IF(H19=0,0,ROUND(AVERAGE(H19:H19)/100,4))</f>
        <v>3.5999999999999999E-3</v>
      </c>
      <c r="AD19" s="2925">
        <f>AA19</f>
        <v>-2.5000000000000001E-3</v>
      </c>
    </row>
    <row r="20" spans="1:30" ht="14.25" thickTop="1"/>
    <row r="21" spans="1:30">
      <c r="A21" s="3142" t="s">
        <v>3366</v>
      </c>
    </row>
    <row r="22" spans="1:30">
      <c r="I22" s="1404" t="s">
        <v>2825</v>
      </c>
    </row>
    <row r="24" spans="1:30" s="2008" customFormat="1" ht="12.75">
      <c r="B24" s="2928" t="s">
        <v>3372</v>
      </c>
      <c r="C24" s="2929"/>
      <c r="D24" s="2929"/>
      <c r="E24" s="2929"/>
      <c r="F24" s="2929"/>
      <c r="G24" s="2929"/>
      <c r="H24" s="2929"/>
      <c r="I24" s="2929"/>
      <c r="J24" s="2895"/>
      <c r="K24" s="2929" t="s">
        <v>2826</v>
      </c>
      <c r="L24" s="2929"/>
      <c r="M24" s="2929"/>
      <c r="N24" s="2929"/>
      <c r="O24" s="2929"/>
      <c r="P24" s="2929"/>
      <c r="Q24" s="2895"/>
      <c r="R24" s="3474" t="s">
        <v>2827</v>
      </c>
      <c r="S24" s="3475"/>
      <c r="T24" s="3475"/>
      <c r="U24" s="3475"/>
      <c r="V24" s="3475"/>
      <c r="W24" s="3475"/>
      <c r="X24" s="2895"/>
      <c r="Y24" s="3474" t="s">
        <v>2828</v>
      </c>
      <c r="Z24" s="3475"/>
      <c r="AA24" s="3475"/>
      <c r="AB24" s="3475"/>
      <c r="AC24" s="3475"/>
      <c r="AD24" s="3475"/>
    </row>
    <row r="25" spans="1:30" s="2009" customFormat="1" ht="14.25" thickBot="1">
      <c r="B25" s="2880"/>
      <c r="C25" s="2881"/>
      <c r="D25" s="2010" t="s">
        <v>2829</v>
      </c>
      <c r="E25" s="2011" t="s">
        <v>2830</v>
      </c>
      <c r="F25" s="2011" t="s">
        <v>2831</v>
      </c>
      <c r="G25" s="2011" t="s">
        <v>2832</v>
      </c>
      <c r="H25" s="2011"/>
      <c r="I25" s="2011" t="s">
        <v>2833</v>
      </c>
      <c r="J25" s="2882"/>
      <c r="K25" s="2010" t="s">
        <v>2829</v>
      </c>
      <c r="L25" s="2011" t="s">
        <v>2830</v>
      </c>
      <c r="M25" s="2011" t="s">
        <v>2831</v>
      </c>
      <c r="N25" s="2011" t="s">
        <v>2832</v>
      </c>
      <c r="O25" s="2011"/>
      <c r="P25" s="2011" t="s">
        <v>2833</v>
      </c>
      <c r="Q25" s="2882"/>
      <c r="R25" s="2010" t="s">
        <v>2829</v>
      </c>
      <c r="S25" s="2011" t="s">
        <v>2830</v>
      </c>
      <c r="T25" s="2011" t="s">
        <v>2831</v>
      </c>
      <c r="U25" s="2011" t="s">
        <v>2832</v>
      </c>
      <c r="V25" s="2011"/>
      <c r="W25" s="2011" t="s">
        <v>2833</v>
      </c>
      <c r="X25" s="2882"/>
      <c r="Y25" s="2010" t="s">
        <v>2829</v>
      </c>
      <c r="Z25" s="2011" t="s">
        <v>2830</v>
      </c>
      <c r="AA25" s="2011" t="s">
        <v>2831</v>
      </c>
      <c r="AB25" s="2011" t="s">
        <v>2832</v>
      </c>
      <c r="AC25" s="2011"/>
      <c r="AD25" s="2011" t="s">
        <v>2833</v>
      </c>
    </row>
    <row r="26" spans="1:30" s="2885" customFormat="1" ht="12.75">
      <c r="A26" s="2883" t="s">
        <v>2834</v>
      </c>
      <c r="B26" s="2884"/>
      <c r="E26" s="2885">
        <f t="shared" ref="E26:G26" si="43">ROUND(AVERAGEIF(E27:E42,"&lt;&gt;0"),2)</f>
        <v>0.33</v>
      </c>
      <c r="F26" s="2885">
        <f t="shared" si="43"/>
        <v>0.24</v>
      </c>
      <c r="G26" s="2885">
        <f t="shared" si="43"/>
        <v>0.62</v>
      </c>
      <c r="I26" s="2885">
        <f>F26</f>
        <v>0.24</v>
      </c>
      <c r="J26" s="2886"/>
      <c r="K26" s="2887"/>
      <c r="L26" s="2888">
        <f t="shared" ref="L26:N26" si="44">ROUND(AVERAGEIF(L27:L42,"&lt;&gt;0"),4)</f>
        <v>3.3E-3</v>
      </c>
      <c r="M26" s="2888">
        <f t="shared" si="44"/>
        <v>2.3999999999999998E-3</v>
      </c>
      <c r="N26" s="2888">
        <f t="shared" si="44"/>
        <v>6.1999999999999998E-3</v>
      </c>
      <c r="O26" s="2888"/>
      <c r="P26" s="2888">
        <f>M26</f>
        <v>2.3999999999999998E-3</v>
      </c>
      <c r="Q26" s="2886"/>
      <c r="R26" s="2889"/>
      <c r="S26" s="2890">
        <f>ROUND(SUMPRODUCT(PRODUCT(1+L27:L42)),4)</f>
        <v>1.0468999999999999</v>
      </c>
      <c r="T26" s="2890">
        <f t="shared" ref="T26:U26" si="45">ROUND(SUMPRODUCT(PRODUCT(1+M27:M42)),4)</f>
        <v>1.0347</v>
      </c>
      <c r="U26" s="2890">
        <f t="shared" si="45"/>
        <v>1.0895999999999999</v>
      </c>
      <c r="V26" s="2890"/>
      <c r="W26" s="2889">
        <f>T26</f>
        <v>1.0347</v>
      </c>
      <c r="X26" s="2886"/>
      <c r="Y26" s="2891"/>
      <c r="Z26" s="2892">
        <f t="shared" ref="Z26:AB26" si="46">ROUND(AVERAGEIF(Z27:Z42,"&lt;&gt;0"),4)</f>
        <v>4.1999999999999997E-3</v>
      </c>
      <c r="AA26" s="2893">
        <f t="shared" si="46"/>
        <v>3.3999999999999998E-3</v>
      </c>
      <c r="AB26" s="2891">
        <f t="shared" si="46"/>
        <v>8.6E-3</v>
      </c>
      <c r="AC26" s="2894"/>
      <c r="AD26" s="2891">
        <f>AA26</f>
        <v>3.3999999999999998E-3</v>
      </c>
    </row>
    <row r="27" spans="1:30" s="2008" customFormat="1" ht="12.75">
      <c r="B27" s="2024"/>
      <c r="J27" s="2895"/>
      <c r="K27" s="2896"/>
      <c r="L27" s="2897"/>
      <c r="M27" s="2897"/>
      <c r="N27" s="2897"/>
      <c r="O27" s="2897"/>
      <c r="P27" s="2897"/>
      <c r="Q27" s="2895"/>
      <c r="R27" s="2026"/>
      <c r="S27" s="2898"/>
      <c r="T27" s="2899"/>
      <c r="U27" s="2026"/>
      <c r="V27" s="2900"/>
      <c r="W27" s="2026"/>
      <c r="X27" s="2895"/>
      <c r="Y27" s="2027"/>
      <c r="Z27" s="2901"/>
      <c r="AA27" s="2902"/>
      <c r="AB27" s="2027"/>
      <c r="AC27" s="2903"/>
      <c r="AD27" s="2027"/>
    </row>
    <row r="28" spans="1:30" s="2044" customFormat="1" ht="12.75">
      <c r="A28" s="2039" t="s">
        <v>3377</v>
      </c>
      <c r="B28" s="2030">
        <v>2024</v>
      </c>
      <c r="C28" s="2041">
        <v>3</v>
      </c>
      <c r="D28" s="2006"/>
      <c r="E28" s="2006">
        <v>0</v>
      </c>
      <c r="F28" s="2006">
        <v>0</v>
      </c>
      <c r="G28" s="2006">
        <v>0</v>
      </c>
      <c r="H28" s="2006"/>
      <c r="I28" s="2007">
        <f t="shared" ref="I28" si="47">F28</f>
        <v>0</v>
      </c>
      <c r="J28" s="2905"/>
      <c r="K28" s="2042"/>
      <c r="L28" s="2027">
        <f t="shared" ref="L28" si="48">E28/100</f>
        <v>0</v>
      </c>
      <c r="M28" s="2027">
        <f t="shared" ref="M28" si="49">F28/100</f>
        <v>0</v>
      </c>
      <c r="N28" s="2027">
        <f t="shared" ref="N28" si="50">G28/100</f>
        <v>0</v>
      </c>
      <c r="O28" s="2027"/>
      <c r="P28" s="2027">
        <f>M28</f>
        <v>0</v>
      </c>
      <c r="Q28" s="2905"/>
      <c r="R28" s="2026"/>
      <c r="S28" s="2026">
        <f>ROUND(IF(项目基本情况!$B$8="出让",SUMPRODUCT(PRODUCT(1+L28:L$42)),SUMPRODUCT(PRODUCT(1+L28:L$41))),4)</f>
        <v>1.0432999999999999</v>
      </c>
      <c r="T28" s="2026">
        <f>ROUND(IF(项目基本情况!$B$8="出让",SUMPRODUCT(PRODUCT(1+M28:M$42)),SUMPRODUCT(PRODUCT(1+M28:M$41))),4)</f>
        <v>1.0298</v>
      </c>
      <c r="U28" s="2026">
        <f>ROUND(IF(项目基本情况!$B$8="出让",SUMPRODUCT(PRODUCT(1+N28:N$42)),SUMPRODUCT(PRODUCT(1+N28:N$41))),4)</f>
        <v>1.079</v>
      </c>
      <c r="V28" s="2026"/>
      <c r="W28" s="2026">
        <f>T28</f>
        <v>1.0298</v>
      </c>
      <c r="X28" s="2905"/>
      <c r="Y28" s="2027"/>
      <c r="Z28" s="2901">
        <f t="shared" ref="Z28:AB29" si="51">IF(E28=0,0,ROUND(AVERAGE(E28:E41)/100,4))</f>
        <v>0</v>
      </c>
      <c r="AA28" s="2901">
        <f t="shared" si="51"/>
        <v>0</v>
      </c>
      <c r="AB28" s="2901">
        <f t="shared" si="51"/>
        <v>0</v>
      </c>
      <c r="AC28" s="2903"/>
      <c r="AD28" s="2027">
        <f>IF(I28=0,0,ROUND(AVERAGE(I28:I41)/100,4))</f>
        <v>0</v>
      </c>
    </row>
    <row r="29" spans="1:30" s="2915" customFormat="1" ht="12.75">
      <c r="A29" s="2906" t="s">
        <v>3378</v>
      </c>
      <c r="B29" s="2907">
        <v>2024</v>
      </c>
      <c r="C29" s="2908">
        <v>2</v>
      </c>
      <c r="D29" s="2909"/>
      <c r="E29" s="2909">
        <v>-0.31</v>
      </c>
      <c r="F29" s="2909">
        <v>-0.39</v>
      </c>
      <c r="G29" s="2909">
        <v>1.23</v>
      </c>
      <c r="H29" s="2910"/>
      <c r="I29" s="2911">
        <f t="shared" ref="I29:I42" si="52">F29</f>
        <v>-0.39</v>
      </c>
      <c r="J29" s="2912"/>
      <c r="K29" s="2913"/>
      <c r="L29" s="2914">
        <f t="shared" ref="L29:N42" si="53">E29/100</f>
        <v>-3.0999999999999999E-3</v>
      </c>
      <c r="M29" s="2914">
        <f t="shared" si="53"/>
        <v>-3.9000000000000003E-3</v>
      </c>
      <c r="N29" s="2914">
        <f t="shared" si="53"/>
        <v>1.23E-2</v>
      </c>
      <c r="O29" s="2914"/>
      <c r="P29" s="2914">
        <f>M29</f>
        <v>-3.9000000000000003E-3</v>
      </c>
      <c r="Q29" s="2912"/>
      <c r="R29" s="2912"/>
      <c r="S29" s="2912">
        <f>ROUND(IF(项目基本情况!$B$8="出让",SUMPRODUCT(PRODUCT(1+L29:L$42)),SUMPRODUCT(PRODUCT(1+L29:L$41))),4)</f>
        <v>1.0432999999999999</v>
      </c>
      <c r="T29" s="2912">
        <f>ROUND(IF(项目基本情况!$B$8="出让",SUMPRODUCT(PRODUCT(1+M29:M$42)),SUMPRODUCT(PRODUCT(1+M29:M$41))),4)</f>
        <v>1.0298</v>
      </c>
      <c r="U29" s="2912">
        <f>ROUND(IF(项目基本情况!$B$8="出让",SUMPRODUCT(PRODUCT(1+N29:N$42)),SUMPRODUCT(PRODUCT(1+N29:N$41))),4)</f>
        <v>1.079</v>
      </c>
      <c r="V29" s="2912"/>
      <c r="W29" s="2912">
        <f>T29</f>
        <v>1.0298</v>
      </c>
      <c r="X29" s="2912"/>
      <c r="Y29" s="2914"/>
      <c r="Z29" s="2930">
        <f t="shared" si="51"/>
        <v>3.3E-3</v>
      </c>
      <c r="AA29" s="2931">
        <f t="shared" si="51"/>
        <v>2.3999999999999998E-3</v>
      </c>
      <c r="AB29" s="2914">
        <f t="shared" si="51"/>
        <v>6.1999999999999998E-3</v>
      </c>
      <c r="AC29" s="2932"/>
      <c r="AD29" s="2914">
        <f>IF(I29=0,0,ROUND(AVERAGE(I29:I42)/100,4))</f>
        <v>2.3999999999999998E-3</v>
      </c>
    </row>
    <row r="30" spans="1:30" s="2044" customFormat="1" ht="12.75">
      <c r="A30" s="2904" t="s">
        <v>3379</v>
      </c>
      <c r="B30" s="2030">
        <v>2024</v>
      </c>
      <c r="C30" s="2041">
        <v>1</v>
      </c>
      <c r="D30" s="2006"/>
      <c r="E30" s="2006">
        <v>0.25</v>
      </c>
      <c r="F30" s="2006">
        <v>0.4</v>
      </c>
      <c r="G30" s="2006">
        <v>-0.63</v>
      </c>
      <c r="H30" s="2916"/>
      <c r="I30" s="2007">
        <f t="shared" ref="I30:I31" si="54">F30</f>
        <v>0.4</v>
      </c>
      <c r="J30" s="2905"/>
      <c r="K30" s="2042"/>
      <c r="L30" s="2027">
        <f t="shared" ref="L30" si="55">E30/100</f>
        <v>2.5000000000000001E-3</v>
      </c>
      <c r="M30" s="2027">
        <f t="shared" ref="M30" si="56">F30/100</f>
        <v>4.0000000000000001E-3</v>
      </c>
      <c r="N30" s="2027">
        <f t="shared" ref="N30" si="57">G30/100</f>
        <v>-6.3E-3</v>
      </c>
      <c r="O30" s="2027"/>
      <c r="P30" s="2027">
        <f t="shared" ref="P30" si="58">M30</f>
        <v>4.0000000000000001E-3</v>
      </c>
      <c r="Q30" s="2905"/>
      <c r="R30" s="2026"/>
      <c r="S30" s="2026">
        <f>ROUND(IF(项目基本情况!$B$8="出让",SUMPRODUCT(PRODUCT(1+L30:L$42)),SUMPRODUCT(PRODUCT(1+L30:L$41))),4)</f>
        <v>1.0465</v>
      </c>
      <c r="T30" s="2026">
        <f>ROUND(IF(项目基本情况!$B$8="出让",SUMPRODUCT(PRODUCT(1+M30:M$42)),SUMPRODUCT(PRODUCT(1+M30:M$41))),4)</f>
        <v>1.0338000000000001</v>
      </c>
      <c r="U30" s="2026">
        <f>ROUND(IF(项目基本情况!$B$8="出让",SUMPRODUCT(PRODUCT(1+N30:N$42)),SUMPRODUCT(PRODUCT(1+N30:N$41))),4)</f>
        <v>1.0659000000000001</v>
      </c>
      <c r="V30" s="2026"/>
      <c r="W30" s="2026">
        <f t="shared" ref="W30" si="59">T30</f>
        <v>1.0338000000000001</v>
      </c>
      <c r="X30" s="2905"/>
      <c r="Y30" s="2027"/>
      <c r="Z30" s="2901"/>
      <c r="AA30" s="2902"/>
      <c r="AB30" s="2027"/>
      <c r="AC30" s="2903"/>
      <c r="AD30" s="2027"/>
    </row>
    <row r="31" spans="1:30" s="2044" customFormat="1" ht="12.75">
      <c r="A31" s="2904" t="s">
        <v>3376</v>
      </c>
      <c r="B31" s="2030">
        <v>2023</v>
      </c>
      <c r="C31" s="2041">
        <v>4</v>
      </c>
      <c r="D31" s="2006"/>
      <c r="E31" s="2006">
        <v>7.0000000000000007E-2</v>
      </c>
      <c r="F31" s="2006">
        <v>0.09</v>
      </c>
      <c r="G31" s="2006">
        <v>0.03</v>
      </c>
      <c r="H31" s="2916"/>
      <c r="I31" s="2007">
        <f t="shared" si="54"/>
        <v>0.09</v>
      </c>
      <c r="J31" s="2905"/>
      <c r="K31" s="2042"/>
      <c r="L31" s="2027">
        <f t="shared" si="53"/>
        <v>7.000000000000001E-4</v>
      </c>
      <c r="M31" s="2027">
        <f t="shared" si="53"/>
        <v>8.9999999999999998E-4</v>
      </c>
      <c r="N31" s="2027">
        <f t="shared" si="53"/>
        <v>2.9999999999999997E-4</v>
      </c>
      <c r="O31" s="2027"/>
      <c r="P31" s="2027">
        <f t="shared" ref="P31" si="60">M31</f>
        <v>8.9999999999999998E-4</v>
      </c>
      <c r="Q31" s="2905"/>
      <c r="R31" s="2026"/>
      <c r="S31" s="2026">
        <f>ROUND(IF(项目基本情况!$B$8="出让",SUMPRODUCT(PRODUCT(1+L31:L$42)),SUMPRODUCT(PRODUCT(1+L31:L$41))),4)</f>
        <v>1.0439000000000001</v>
      </c>
      <c r="T31" s="2026">
        <f>ROUND(IF(项目基本情况!$B$8="出让",SUMPRODUCT(PRODUCT(1+M31:M$42)),SUMPRODUCT(PRODUCT(1+M31:M$41))),4)</f>
        <v>1.0297000000000001</v>
      </c>
      <c r="U31" s="2026">
        <f>ROUND(IF(项目基本情况!$B$8="出让",SUMPRODUCT(PRODUCT(1+N31:N$42)),SUMPRODUCT(PRODUCT(1+N31:N$41))),4)</f>
        <v>1.0727</v>
      </c>
      <c r="V31" s="2026"/>
      <c r="W31" s="2026">
        <f t="shared" ref="W31" si="61">T31</f>
        <v>1.0297000000000001</v>
      </c>
      <c r="X31" s="2905"/>
      <c r="Y31" s="2027"/>
      <c r="Z31" s="2901"/>
      <c r="AA31" s="2902"/>
      <c r="AB31" s="2027"/>
      <c r="AC31" s="2903"/>
      <c r="AD31" s="2027"/>
    </row>
    <row r="32" spans="1:30" s="2044" customFormat="1" ht="12.75">
      <c r="A32" s="2904" t="s">
        <v>3374</v>
      </c>
      <c r="B32" s="2030">
        <v>2023</v>
      </c>
      <c r="C32" s="2041">
        <v>3</v>
      </c>
      <c r="D32" s="2006"/>
      <c r="E32" s="2006">
        <v>0.35</v>
      </c>
      <c r="F32" s="2006">
        <v>0.17</v>
      </c>
      <c r="G32" s="2006">
        <v>0.52</v>
      </c>
      <c r="H32" s="2916"/>
      <c r="I32" s="2007">
        <f t="shared" si="52"/>
        <v>0.17</v>
      </c>
      <c r="J32" s="2905"/>
      <c r="K32" s="2042"/>
      <c r="L32" s="2027">
        <f t="shared" ref="L32:L34" si="62">E32/100</f>
        <v>3.4999999999999996E-3</v>
      </c>
      <c r="M32" s="2027">
        <f t="shared" ref="M32:M34" si="63">F32/100</f>
        <v>1.7000000000000001E-3</v>
      </c>
      <c r="N32" s="2027">
        <f t="shared" ref="N32:N34" si="64">G32/100</f>
        <v>5.1999999999999998E-3</v>
      </c>
      <c r="O32" s="2027"/>
      <c r="P32" s="2027">
        <f t="shared" ref="P32:P34" si="65">M32</f>
        <v>1.7000000000000001E-3</v>
      </c>
      <c r="Q32" s="2905"/>
      <c r="R32" s="2026"/>
      <c r="S32" s="2026">
        <f>ROUND(IF(项目基本情况!$B$8="出让",SUMPRODUCT(PRODUCT(1+L32:L$42)),SUMPRODUCT(PRODUCT(1+L32:L$41))),4)</f>
        <v>1.0431999999999999</v>
      </c>
      <c r="T32" s="2026">
        <f>ROUND(IF(项目基本情况!$B$8="出让",SUMPRODUCT(PRODUCT(1+M32:M$42)),SUMPRODUCT(PRODUCT(1+M32:M$41))),4)</f>
        <v>1.0286999999999999</v>
      </c>
      <c r="U32" s="2026">
        <f>ROUND(IF(项目基本情况!$B$8="出让",SUMPRODUCT(PRODUCT(1+N32:N$42)),SUMPRODUCT(PRODUCT(1+N32:N$41))),4)</f>
        <v>1.0723</v>
      </c>
      <c r="V32" s="2026"/>
      <c r="W32" s="2026">
        <f t="shared" ref="W32:W34" si="66">T32</f>
        <v>1.0286999999999999</v>
      </c>
      <c r="X32" s="2905"/>
      <c r="Y32" s="2027"/>
      <c r="Z32" s="2901"/>
      <c r="AA32" s="2902"/>
      <c r="AB32" s="2027"/>
      <c r="AC32" s="2903"/>
      <c r="AD32" s="2027"/>
    </row>
    <row r="33" spans="1:30" s="2044" customFormat="1" ht="12.75">
      <c r="A33" s="2904" t="s">
        <v>3373</v>
      </c>
      <c r="B33" s="2030">
        <v>2023</v>
      </c>
      <c r="C33" s="2041">
        <v>2</v>
      </c>
      <c r="D33" s="2006"/>
      <c r="E33" s="2006">
        <v>0.5</v>
      </c>
      <c r="F33" s="2006">
        <v>0.45</v>
      </c>
      <c r="G33" s="2006">
        <v>0.89</v>
      </c>
      <c r="H33" s="2916"/>
      <c r="I33" s="2007">
        <f t="shared" si="52"/>
        <v>0.45</v>
      </c>
      <c r="J33" s="2905"/>
      <c r="K33" s="2042"/>
      <c r="L33" s="2027">
        <f t="shared" si="62"/>
        <v>5.0000000000000001E-3</v>
      </c>
      <c r="M33" s="2027">
        <f t="shared" si="63"/>
        <v>4.5000000000000005E-3</v>
      </c>
      <c r="N33" s="2027">
        <f t="shared" si="64"/>
        <v>8.8999999999999999E-3</v>
      </c>
      <c r="O33" s="2027"/>
      <c r="P33" s="2027">
        <f t="shared" si="65"/>
        <v>4.5000000000000005E-3</v>
      </c>
      <c r="Q33" s="2905"/>
      <c r="R33" s="2026"/>
      <c r="S33" s="2026">
        <f>ROUND(IF(项目基本情况!$B$8="出让",SUMPRODUCT(PRODUCT(1+L33:L$42)),SUMPRODUCT(PRODUCT(1+L33:L$41))),4)</f>
        <v>1.0396000000000001</v>
      </c>
      <c r="T33" s="2026">
        <f>ROUND(IF(项目基本情况!$B$8="出让",SUMPRODUCT(PRODUCT(1+M33:M$42)),SUMPRODUCT(PRODUCT(1+M33:M$41))),4)</f>
        <v>1.0269999999999999</v>
      </c>
      <c r="U33" s="2026">
        <f>ROUND(IF(项目基本情况!$B$8="出让",SUMPRODUCT(PRODUCT(1+N33:N$42)),SUMPRODUCT(PRODUCT(1+N33:N$41))),4)</f>
        <v>1.0668</v>
      </c>
      <c r="V33" s="2026"/>
      <c r="W33" s="2026">
        <f t="shared" si="66"/>
        <v>1.0269999999999999</v>
      </c>
      <c r="X33" s="2905"/>
      <c r="Y33" s="2027"/>
      <c r="Z33" s="2901"/>
      <c r="AA33" s="2902"/>
      <c r="AB33" s="2027"/>
      <c r="AC33" s="2903"/>
      <c r="AD33" s="2027"/>
    </row>
    <row r="34" spans="1:30" s="2044" customFormat="1" ht="12.75">
      <c r="A34" s="2904" t="s">
        <v>3369</v>
      </c>
      <c r="B34" s="2030">
        <v>2023</v>
      </c>
      <c r="C34" s="2041">
        <v>1</v>
      </c>
      <c r="D34" s="2006"/>
      <c r="E34" s="2006">
        <v>0.55000000000000004</v>
      </c>
      <c r="F34" s="2006">
        <v>0.59</v>
      </c>
      <c r="G34" s="2006">
        <v>0.64</v>
      </c>
      <c r="H34" s="2916"/>
      <c r="I34" s="2007">
        <f t="shared" si="52"/>
        <v>0.59</v>
      </c>
      <c r="J34" s="2905"/>
      <c r="K34" s="2042"/>
      <c r="L34" s="2027">
        <f t="shared" si="62"/>
        <v>5.5000000000000005E-3</v>
      </c>
      <c r="M34" s="2027">
        <f t="shared" si="63"/>
        <v>5.8999999999999999E-3</v>
      </c>
      <c r="N34" s="2027">
        <f t="shared" si="64"/>
        <v>6.4000000000000003E-3</v>
      </c>
      <c r="O34" s="2027"/>
      <c r="P34" s="2027">
        <f t="shared" si="65"/>
        <v>5.8999999999999999E-3</v>
      </c>
      <c r="Q34" s="2905"/>
      <c r="R34" s="2026"/>
      <c r="S34" s="2026">
        <f>ROUND(IF(项目基本情况!$B$8="出让",SUMPRODUCT(PRODUCT(1+L34:L$42)),SUMPRODUCT(PRODUCT(1+L34:L$41))),4)</f>
        <v>1.0344</v>
      </c>
      <c r="T34" s="2026">
        <f>ROUND(IF(项目基本情况!$B$8="出让",SUMPRODUCT(PRODUCT(1+M34:M$42)),SUMPRODUCT(PRODUCT(1+M34:M$41))),4)</f>
        <v>1.0224</v>
      </c>
      <c r="U34" s="2026">
        <f>ROUND(IF(项目基本情况!$B$8="出让",SUMPRODUCT(PRODUCT(1+N34:N$42)),SUMPRODUCT(PRODUCT(1+N34:N$41))),4)</f>
        <v>1.0573999999999999</v>
      </c>
      <c r="V34" s="2026"/>
      <c r="W34" s="2026">
        <f t="shared" si="66"/>
        <v>1.0224</v>
      </c>
      <c r="X34" s="2905"/>
      <c r="Y34" s="2027"/>
      <c r="Z34" s="2901"/>
      <c r="AA34" s="2902"/>
      <c r="AB34" s="2027"/>
      <c r="AC34" s="2903"/>
      <c r="AD34" s="2027"/>
    </row>
    <row r="35" spans="1:30" s="2044" customFormat="1" ht="12.75">
      <c r="A35" s="2904" t="s">
        <v>3368</v>
      </c>
      <c r="B35" s="2030">
        <v>2022</v>
      </c>
      <c r="C35" s="2041">
        <v>4</v>
      </c>
      <c r="D35" s="2006"/>
      <c r="E35" s="2006">
        <v>0.45</v>
      </c>
      <c r="F35" s="2006">
        <v>0.2</v>
      </c>
      <c r="G35" s="2006">
        <v>0.38</v>
      </c>
      <c r="H35" s="2916"/>
      <c r="I35" s="2007">
        <f t="shared" si="52"/>
        <v>0.2</v>
      </c>
      <c r="J35" s="2905"/>
      <c r="K35" s="2042"/>
      <c r="L35" s="2027">
        <f t="shared" si="53"/>
        <v>4.5000000000000005E-3</v>
      </c>
      <c r="M35" s="2027">
        <f t="shared" si="53"/>
        <v>2E-3</v>
      </c>
      <c r="N35" s="2027">
        <f t="shared" si="53"/>
        <v>3.8E-3</v>
      </c>
      <c r="O35" s="2027"/>
      <c r="P35" s="2027">
        <f t="shared" ref="P35:P42" si="67">M35</f>
        <v>2E-3</v>
      </c>
      <c r="Q35" s="2905"/>
      <c r="R35" s="2026"/>
      <c r="S35" s="2026">
        <f>ROUND(IF(项目基本情况!$B$8="出让",SUMPRODUCT(PRODUCT(1+L35:L$42)),SUMPRODUCT(PRODUCT(1+L35:L$41))),4)</f>
        <v>1.0286999999999999</v>
      </c>
      <c r="T35" s="2026">
        <f>ROUND(IF(项目基本情况!$B$8="出让",SUMPRODUCT(PRODUCT(1+M35:M$42)),SUMPRODUCT(PRODUCT(1+M35:M$41))),4)</f>
        <v>1.0164</v>
      </c>
      <c r="U35" s="2026">
        <f>ROUND(IF(项目基本情况!$B$8="出让",SUMPRODUCT(PRODUCT(1+N35:N$42)),SUMPRODUCT(PRODUCT(1+N35:N$41))),4)</f>
        <v>1.0506</v>
      </c>
      <c r="V35" s="2026"/>
      <c r="W35" s="2026">
        <f t="shared" ref="W35:W42" si="68">T35</f>
        <v>1.0164</v>
      </c>
      <c r="X35" s="2905"/>
      <c r="Y35" s="2027"/>
      <c r="Z35" s="2901">
        <f t="shared" ref="Z35:AD42" si="69">IF(E35=0,0,ROUND(AVERAGE(E35:E43)/100,4))</f>
        <v>4.0000000000000001E-3</v>
      </c>
      <c r="AA35" s="2902">
        <f t="shared" si="69"/>
        <v>2.5999999999999999E-3</v>
      </c>
      <c r="AB35" s="2027">
        <f t="shared" si="69"/>
        <v>7.4000000000000003E-3</v>
      </c>
      <c r="AC35" s="2903"/>
      <c r="AD35" s="2027">
        <f t="shared" si="69"/>
        <v>2.5999999999999999E-3</v>
      </c>
    </row>
    <row r="36" spans="1:30" s="2044" customFormat="1" ht="12.75">
      <c r="A36" s="2904" t="s">
        <v>3365</v>
      </c>
      <c r="B36" s="2030">
        <v>2022</v>
      </c>
      <c r="C36" s="2041">
        <v>3</v>
      </c>
      <c r="D36" s="2006"/>
      <c r="E36" s="2006">
        <v>0.3</v>
      </c>
      <c r="F36" s="2006">
        <v>0.28999999999999998</v>
      </c>
      <c r="G36" s="2006">
        <v>0.83</v>
      </c>
      <c r="H36" s="2916"/>
      <c r="I36" s="2007">
        <f t="shared" si="52"/>
        <v>0.28999999999999998</v>
      </c>
      <c r="J36" s="2905"/>
      <c r="K36" s="2042"/>
      <c r="L36" s="2027">
        <f t="shared" si="53"/>
        <v>3.0000000000000001E-3</v>
      </c>
      <c r="M36" s="2027">
        <f t="shared" si="53"/>
        <v>2.8999999999999998E-3</v>
      </c>
      <c r="N36" s="2027">
        <f t="shared" si="53"/>
        <v>8.3000000000000001E-3</v>
      </c>
      <c r="O36" s="2027"/>
      <c r="P36" s="2027">
        <f t="shared" si="67"/>
        <v>2.8999999999999998E-3</v>
      </c>
      <c r="Q36" s="2905"/>
      <c r="R36" s="2026"/>
      <c r="S36" s="2026">
        <f>ROUND(IF(项目基本情况!$B$8="出让",SUMPRODUCT(PRODUCT(1+L36:L$42)),SUMPRODUCT(PRODUCT(1+L36:L$41))),4)</f>
        <v>1.0241</v>
      </c>
      <c r="T36" s="2026">
        <f>ROUND(IF(项目基本情况!$B$8="出让",SUMPRODUCT(PRODUCT(1+M36:M$42)),SUMPRODUCT(PRODUCT(1+M36:M$41))),4)</f>
        <v>1.0144</v>
      </c>
      <c r="U36" s="2026">
        <f>ROUND(IF(项目基本情况!$B$8="出让",SUMPRODUCT(PRODUCT(1+N36:N$42)),SUMPRODUCT(PRODUCT(1+N36:N$41))),4)</f>
        <v>1.0467</v>
      </c>
      <c r="V36" s="2026"/>
      <c r="W36" s="2026">
        <f t="shared" si="68"/>
        <v>1.0144</v>
      </c>
      <c r="X36" s="2905"/>
      <c r="Y36" s="2027"/>
      <c r="Z36" s="2901">
        <f t="shared" si="69"/>
        <v>3.8999999999999998E-3</v>
      </c>
      <c r="AA36" s="2902">
        <f t="shared" si="69"/>
        <v>2.7000000000000001E-3</v>
      </c>
      <c r="AB36" s="2027">
        <f t="shared" si="69"/>
        <v>7.9000000000000008E-3</v>
      </c>
      <c r="AC36" s="2903"/>
      <c r="AD36" s="2027">
        <f t="shared" si="69"/>
        <v>2.7000000000000001E-3</v>
      </c>
    </row>
    <row r="37" spans="1:30" s="2044" customFormat="1" ht="12.75">
      <c r="A37" s="2904" t="s">
        <v>3355</v>
      </c>
      <c r="B37" s="2030">
        <v>2022</v>
      </c>
      <c r="C37" s="2041">
        <v>2</v>
      </c>
      <c r="D37" s="2006"/>
      <c r="E37" s="2006">
        <v>-0.11</v>
      </c>
      <c r="F37" s="2006">
        <v>-0.13</v>
      </c>
      <c r="G37" s="2006">
        <v>0.53</v>
      </c>
      <c r="H37" s="2916"/>
      <c r="I37" s="2007">
        <f t="shared" si="52"/>
        <v>-0.13</v>
      </c>
      <c r="J37" s="2905"/>
      <c r="K37" s="2042"/>
      <c r="L37" s="2027">
        <f t="shared" si="53"/>
        <v>-1.1000000000000001E-3</v>
      </c>
      <c r="M37" s="2027">
        <f t="shared" si="53"/>
        <v>-1.2999999999999999E-3</v>
      </c>
      <c r="N37" s="2027">
        <f t="shared" si="53"/>
        <v>5.3E-3</v>
      </c>
      <c r="O37" s="2027"/>
      <c r="P37" s="2027">
        <f t="shared" si="67"/>
        <v>-1.2999999999999999E-3</v>
      </c>
      <c r="Q37" s="2905"/>
      <c r="R37" s="2026"/>
      <c r="S37" s="2026">
        <f>ROUND(IF(项目基本情况!$B$8="出让",SUMPRODUCT(PRODUCT(1+L37:L$42)),SUMPRODUCT(PRODUCT(1+L37:L$41))),4)</f>
        <v>1.0210999999999999</v>
      </c>
      <c r="T37" s="2026">
        <f>ROUND(IF(项目基本情况!$B$8="出让",SUMPRODUCT(PRODUCT(1+M37:M$42)),SUMPRODUCT(PRODUCT(1+M37:M$41))),4)</f>
        <v>1.0114000000000001</v>
      </c>
      <c r="U37" s="2026">
        <f>ROUND(IF(项目基本情况!$B$8="出让",SUMPRODUCT(PRODUCT(1+N37:N$42)),SUMPRODUCT(PRODUCT(1+N37:N$41))),4)</f>
        <v>1.0381</v>
      </c>
      <c r="V37" s="2026"/>
      <c r="W37" s="2026">
        <f t="shared" si="68"/>
        <v>1.0114000000000001</v>
      </c>
      <c r="X37" s="2905"/>
      <c r="Y37" s="2027"/>
      <c r="Z37" s="2901">
        <f t="shared" si="69"/>
        <v>4.1000000000000003E-3</v>
      </c>
      <c r="AA37" s="2902">
        <f t="shared" si="69"/>
        <v>2.7000000000000001E-3</v>
      </c>
      <c r="AB37" s="2027">
        <f t="shared" si="69"/>
        <v>7.9000000000000008E-3</v>
      </c>
      <c r="AC37" s="2903"/>
      <c r="AD37" s="2027">
        <f t="shared" si="69"/>
        <v>2.7000000000000001E-3</v>
      </c>
    </row>
    <row r="38" spans="1:30" s="2044" customFormat="1" ht="12.75">
      <c r="A38" s="2904" t="s">
        <v>2835</v>
      </c>
      <c r="B38" s="2030">
        <v>2022</v>
      </c>
      <c r="C38" s="2041">
        <v>1</v>
      </c>
      <c r="D38" s="2006"/>
      <c r="E38" s="2006">
        <v>0.6</v>
      </c>
      <c r="F38" s="2006">
        <v>0.45</v>
      </c>
      <c r="G38" s="2006">
        <v>0.53</v>
      </c>
      <c r="H38" s="2916"/>
      <c r="I38" s="2007">
        <f t="shared" si="52"/>
        <v>0.45</v>
      </c>
      <c r="J38" s="2905"/>
      <c r="K38" s="2042"/>
      <c r="L38" s="2027">
        <f t="shared" si="53"/>
        <v>6.0000000000000001E-3</v>
      </c>
      <c r="M38" s="2027">
        <f t="shared" si="53"/>
        <v>4.5000000000000005E-3</v>
      </c>
      <c r="N38" s="2027">
        <f t="shared" si="53"/>
        <v>5.3E-3</v>
      </c>
      <c r="O38" s="2027"/>
      <c r="P38" s="2027">
        <f t="shared" si="67"/>
        <v>4.5000000000000005E-3</v>
      </c>
      <c r="Q38" s="2905"/>
      <c r="R38" s="2026"/>
      <c r="S38" s="2026">
        <f>ROUND(IF(项目基本情况!$B$8="出让",SUMPRODUCT(PRODUCT(1+L38:L$42)),SUMPRODUCT(PRODUCT(1+L38:L$41))),4)</f>
        <v>1.0222</v>
      </c>
      <c r="T38" s="2026">
        <f>ROUND(IF(项目基本情况!$B$8="出让",SUMPRODUCT(PRODUCT(1+M38:M$42)),SUMPRODUCT(PRODUCT(1+M38:M$41))),4)</f>
        <v>1.0127999999999999</v>
      </c>
      <c r="U38" s="2026">
        <f>ROUND(IF(项目基本情况!$B$8="出让",SUMPRODUCT(PRODUCT(1+N38:N$42)),SUMPRODUCT(PRODUCT(1+N38:N$41))),4)</f>
        <v>1.0326</v>
      </c>
      <c r="V38" s="2026"/>
      <c r="W38" s="2026">
        <f t="shared" si="68"/>
        <v>1.0127999999999999</v>
      </c>
      <c r="X38" s="2905"/>
      <c r="Y38" s="2027"/>
      <c r="Z38" s="2901">
        <f t="shared" si="69"/>
        <v>5.1000000000000004E-3</v>
      </c>
      <c r="AA38" s="2902">
        <f t="shared" si="69"/>
        <v>3.5000000000000001E-3</v>
      </c>
      <c r="AB38" s="2027">
        <f t="shared" si="69"/>
        <v>8.3999999999999995E-3</v>
      </c>
      <c r="AC38" s="2903"/>
      <c r="AD38" s="2027">
        <f t="shared" si="69"/>
        <v>3.5000000000000001E-3</v>
      </c>
    </row>
    <row r="39" spans="1:30" s="2044" customFormat="1" ht="12.75">
      <c r="A39" s="2904" t="s">
        <v>2836</v>
      </c>
      <c r="B39" s="2030">
        <v>2021</v>
      </c>
      <c r="C39" s="2041">
        <v>4</v>
      </c>
      <c r="D39" s="2006"/>
      <c r="E39" s="2006">
        <v>0.57999999999999996</v>
      </c>
      <c r="F39" s="2006">
        <v>0.08</v>
      </c>
      <c r="G39" s="2006">
        <v>0.68</v>
      </c>
      <c r="H39" s="2916"/>
      <c r="I39" s="2007">
        <f t="shared" si="52"/>
        <v>0.08</v>
      </c>
      <c r="J39" s="2905"/>
      <c r="K39" s="2042"/>
      <c r="L39" s="2027">
        <f t="shared" si="53"/>
        <v>5.7999999999999996E-3</v>
      </c>
      <c r="M39" s="2027">
        <f t="shared" si="53"/>
        <v>8.0000000000000004E-4</v>
      </c>
      <c r="N39" s="2027">
        <f t="shared" si="53"/>
        <v>6.8000000000000005E-3</v>
      </c>
      <c r="O39" s="2027"/>
      <c r="P39" s="2027">
        <f t="shared" si="67"/>
        <v>8.0000000000000004E-4</v>
      </c>
      <c r="Q39" s="2905"/>
      <c r="R39" s="2026"/>
      <c r="S39" s="2026">
        <f>ROUND(IF(项目基本情况!$B$8="出让",SUMPRODUCT(PRODUCT(1+L39:L$42)),SUMPRODUCT(PRODUCT(1+L39:L$41))),4)</f>
        <v>1.0161</v>
      </c>
      <c r="T39" s="2026">
        <f>ROUND(IF(项目基本情况!$B$8="出让",SUMPRODUCT(PRODUCT(1+M39:M$42)),SUMPRODUCT(PRODUCT(1+M39:M$41))),4)</f>
        <v>1.0082</v>
      </c>
      <c r="U39" s="2026">
        <f>ROUND(IF(项目基本情况!$B$8="出让",SUMPRODUCT(PRODUCT(1+N39:N$42)),SUMPRODUCT(PRODUCT(1+N39:N$41))),4)</f>
        <v>1.0270999999999999</v>
      </c>
      <c r="V39" s="2026"/>
      <c r="W39" s="2026">
        <f t="shared" si="68"/>
        <v>1.0082</v>
      </c>
      <c r="X39" s="2905"/>
      <c r="Y39" s="2027"/>
      <c r="Z39" s="2901">
        <f t="shared" si="69"/>
        <v>4.8999999999999998E-3</v>
      </c>
      <c r="AA39" s="2902">
        <f t="shared" si="69"/>
        <v>3.3E-3</v>
      </c>
      <c r="AB39" s="2027">
        <f t="shared" si="69"/>
        <v>9.1999999999999998E-3</v>
      </c>
      <c r="AC39" s="2903"/>
      <c r="AD39" s="2027">
        <f t="shared" si="69"/>
        <v>3.3E-3</v>
      </c>
    </row>
    <row r="40" spans="1:30" s="2044" customFormat="1" ht="12.75">
      <c r="A40" s="2904" t="s">
        <v>2837</v>
      </c>
      <c r="B40" s="2030">
        <v>2021</v>
      </c>
      <c r="C40" s="2041">
        <v>3</v>
      </c>
      <c r="D40" s="2006"/>
      <c r="E40" s="2006">
        <v>0.47</v>
      </c>
      <c r="F40" s="2006">
        <v>0.28000000000000003</v>
      </c>
      <c r="G40" s="2006">
        <v>0.91</v>
      </c>
      <c r="H40" s="2916"/>
      <c r="I40" s="2007">
        <f t="shared" si="52"/>
        <v>0.28000000000000003</v>
      </c>
      <c r="J40" s="2905"/>
      <c r="K40" s="2042"/>
      <c r="L40" s="2027">
        <f t="shared" si="53"/>
        <v>4.6999999999999993E-3</v>
      </c>
      <c r="M40" s="2027">
        <f t="shared" si="53"/>
        <v>2.8000000000000004E-3</v>
      </c>
      <c r="N40" s="2027">
        <f t="shared" si="53"/>
        <v>9.1000000000000004E-3</v>
      </c>
      <c r="O40" s="2027"/>
      <c r="P40" s="2027">
        <f t="shared" si="67"/>
        <v>2.8000000000000004E-3</v>
      </c>
      <c r="Q40" s="2905"/>
      <c r="R40" s="2026"/>
      <c r="S40" s="2026">
        <f>ROUND(IF(项目基本情况!$B$8="出让",SUMPRODUCT(PRODUCT(1+L40:L$42)),SUMPRODUCT(PRODUCT(1+L40:L$41))),4)</f>
        <v>1.0102</v>
      </c>
      <c r="T40" s="2026">
        <f>ROUND(IF(项目基本情况!$B$8="出让",SUMPRODUCT(PRODUCT(1+M40:M$42)),SUMPRODUCT(PRODUCT(1+M40:M$41))),4)</f>
        <v>1.0074000000000001</v>
      </c>
      <c r="U40" s="2026">
        <f>ROUND(IF(项目基本情况!$B$8="出让",SUMPRODUCT(PRODUCT(1+N40:N$42)),SUMPRODUCT(PRODUCT(1+N40:N$41))),4)</f>
        <v>1.0202</v>
      </c>
      <c r="V40" s="2026"/>
      <c r="W40" s="2026">
        <f t="shared" si="68"/>
        <v>1.0074000000000001</v>
      </c>
      <c r="X40" s="2905"/>
      <c r="Y40" s="2027"/>
      <c r="Z40" s="2901">
        <f t="shared" si="69"/>
        <v>4.5999999999999999E-3</v>
      </c>
      <c r="AA40" s="2902">
        <f t="shared" si="69"/>
        <v>4.1000000000000003E-3</v>
      </c>
      <c r="AB40" s="2027">
        <f t="shared" si="69"/>
        <v>0.01</v>
      </c>
      <c r="AC40" s="2903"/>
      <c r="AD40" s="2027">
        <f t="shared" si="69"/>
        <v>4.1000000000000003E-3</v>
      </c>
    </row>
    <row r="41" spans="1:30" s="2044" customFormat="1" ht="12.75">
      <c r="A41" s="2904" t="s">
        <v>2838</v>
      </c>
      <c r="B41" s="2030">
        <v>2021</v>
      </c>
      <c r="C41" s="2041">
        <v>2</v>
      </c>
      <c r="D41" s="2006"/>
      <c r="E41" s="2006">
        <v>0.55000000000000004</v>
      </c>
      <c r="F41" s="2006">
        <v>0.46</v>
      </c>
      <c r="G41" s="2006">
        <v>1.1000000000000001</v>
      </c>
      <c r="H41" s="2916"/>
      <c r="I41" s="2007">
        <f t="shared" si="52"/>
        <v>0.46</v>
      </c>
      <c r="J41" s="2905"/>
      <c r="K41" s="2042"/>
      <c r="L41" s="2027">
        <f t="shared" si="53"/>
        <v>5.5000000000000005E-3</v>
      </c>
      <c r="M41" s="2027">
        <f t="shared" si="53"/>
        <v>4.5999999999999999E-3</v>
      </c>
      <c r="N41" s="2027">
        <f t="shared" si="53"/>
        <v>1.1000000000000001E-2</v>
      </c>
      <c r="O41" s="2027"/>
      <c r="P41" s="2027">
        <f t="shared" si="67"/>
        <v>4.5999999999999999E-3</v>
      </c>
      <c r="Q41" s="2905"/>
      <c r="R41" s="2026"/>
      <c r="S41" s="2026">
        <f>ROUND(IF(项目基本情况!$B$8="出让",SUMPRODUCT(PRODUCT(1+L41:L$42)),SUMPRODUCT(PRODUCT(1+L41:L$41))),4)</f>
        <v>1.0055000000000001</v>
      </c>
      <c r="T41" s="2026">
        <f>ROUND(IF(项目基本情况!$B$8="出让",SUMPRODUCT(PRODUCT(1+M41:M$42)),SUMPRODUCT(PRODUCT(1+M41:M$41))),4)</f>
        <v>1.0045999999999999</v>
      </c>
      <c r="U41" s="2026">
        <f>ROUND(IF(项目基本情况!$B$8="出让",SUMPRODUCT(PRODUCT(1+N41:N$42)),SUMPRODUCT(PRODUCT(1+N41:N$41))),4)</f>
        <v>1.0109999999999999</v>
      </c>
      <c r="V41" s="2026"/>
      <c r="W41" s="2026">
        <f t="shared" si="68"/>
        <v>1.0045999999999999</v>
      </c>
      <c r="X41" s="2905"/>
      <c r="Y41" s="2027"/>
      <c r="Z41" s="2901">
        <f t="shared" si="69"/>
        <v>4.4999999999999997E-3</v>
      </c>
      <c r="AA41" s="2902">
        <f t="shared" si="69"/>
        <v>4.7000000000000002E-3</v>
      </c>
      <c r="AB41" s="2027">
        <f t="shared" si="69"/>
        <v>1.04E-2</v>
      </c>
      <c r="AC41" s="2903"/>
      <c r="AD41" s="2027">
        <f t="shared" si="69"/>
        <v>4.7000000000000002E-3</v>
      </c>
    </row>
    <row r="42" spans="1:30" s="2927" customFormat="1" thickBot="1">
      <c r="A42" s="2917" t="s">
        <v>2824</v>
      </c>
      <c r="B42" s="2918">
        <v>2021</v>
      </c>
      <c r="C42" s="2919">
        <v>1</v>
      </c>
      <c r="D42" s="2920"/>
      <c r="E42" s="2920">
        <v>0.35</v>
      </c>
      <c r="F42" s="2920">
        <v>0.48</v>
      </c>
      <c r="G42" s="2920">
        <v>0.98</v>
      </c>
      <c r="H42" s="2921"/>
      <c r="I42" s="2922">
        <f t="shared" si="52"/>
        <v>0.48</v>
      </c>
      <c r="J42" s="2923"/>
      <c r="K42" s="2924"/>
      <c r="L42" s="2925">
        <f t="shared" si="53"/>
        <v>3.4999999999999996E-3</v>
      </c>
      <c r="M42" s="2925">
        <f>F42/100</f>
        <v>4.7999999999999996E-3</v>
      </c>
      <c r="N42" s="2925">
        <f t="shared" si="53"/>
        <v>9.7999999999999997E-3</v>
      </c>
      <c r="O42" s="2925"/>
      <c r="P42" s="2925">
        <f t="shared" si="67"/>
        <v>4.7999999999999996E-3</v>
      </c>
      <c r="Q42" s="2923"/>
      <c r="R42" s="2926"/>
      <c r="S42" s="2926">
        <v>1</v>
      </c>
      <c r="T42" s="2926">
        <v>1</v>
      </c>
      <c r="U42" s="2926">
        <v>1</v>
      </c>
      <c r="V42" s="2926"/>
      <c r="W42" s="2926">
        <f t="shared" si="68"/>
        <v>1</v>
      </c>
      <c r="X42" s="2923"/>
      <c r="Y42" s="2925"/>
      <c r="Z42" s="2933">
        <f t="shared" si="69"/>
        <v>3.5000000000000001E-3</v>
      </c>
      <c r="AA42" s="2934">
        <f t="shared" si="69"/>
        <v>4.7999999999999996E-3</v>
      </c>
      <c r="AB42" s="2925">
        <f t="shared" si="69"/>
        <v>9.7999999999999997E-3</v>
      </c>
      <c r="AC42" s="2935"/>
      <c r="AD42" s="2925">
        <f t="shared" si="69"/>
        <v>4.7999999999999996E-3</v>
      </c>
    </row>
    <row r="43" spans="1:30" ht="14.25" thickTop="1"/>
    <row r="44" spans="1:30">
      <c r="A44" s="3142" t="s">
        <v>3367</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79" t="s">
        <v>452</v>
      </c>
      <c r="C1" s="3479"/>
      <c r="D1" s="3479"/>
      <c r="E1" s="3479"/>
      <c r="F1" s="3479"/>
      <c r="G1" s="3475" t="s">
        <v>453</v>
      </c>
      <c r="H1" s="3475"/>
      <c r="I1" s="3475"/>
      <c r="J1" s="3475"/>
      <c r="K1" s="3475"/>
      <c r="L1" s="3475"/>
      <c r="N1" s="3475" t="s">
        <v>454</v>
      </c>
      <c r="O1" s="3475"/>
      <c r="P1" s="3475"/>
      <c r="Q1" s="3475"/>
      <c r="S1" s="3475" t="s">
        <v>455</v>
      </c>
      <c r="T1" s="3475"/>
      <c r="U1" s="3475"/>
      <c r="V1" s="3475"/>
      <c r="X1" s="3474" t="s">
        <v>456</v>
      </c>
      <c r="Y1" s="3475"/>
      <c r="Z1" s="3475"/>
      <c r="AA1" s="3475"/>
      <c r="AB1" s="3475"/>
      <c r="AD1" s="3474" t="s">
        <v>457</v>
      </c>
      <c r="AE1" s="3475"/>
      <c r="AF1" s="3475"/>
      <c r="AG1" s="3475"/>
      <c r="AH1" s="3475"/>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3363</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3360</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3361</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3362</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77">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77"/>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77"/>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84"/>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80">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77"/>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77"/>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84"/>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80">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77"/>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77"/>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78"/>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76">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77"/>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77"/>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78"/>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76">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77"/>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77"/>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78"/>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81">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82"/>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82"/>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83"/>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76">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77"/>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77"/>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78"/>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76">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77">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77">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78">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76">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77">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77">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78">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76">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77">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77">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78">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76">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77">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77">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78">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76">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77">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77">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78">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76">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77">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77">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78">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76">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77">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77">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78">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76">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77">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77">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78">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76">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77">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77">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78">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76">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77">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77">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78">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6"/>
  <sheetViews>
    <sheetView workbookViewId="0">
      <selection activeCell="C13" sqref="C13:H1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45544</v>
      </c>
      <c r="D1" s="1216" t="s">
        <v>603</v>
      </c>
      <c r="E1" s="1211">
        <f>'数据-取费表'!B22</f>
        <v>1</v>
      </c>
      <c r="F1" s="1216" t="s">
        <v>604</v>
      </c>
      <c r="G1" s="1212">
        <f ca="1">INDIRECT("d"&amp;$K$1)/100</f>
        <v>3.3500000000000002E-2</v>
      </c>
      <c r="H1" s="1216" t="s">
        <v>634</v>
      </c>
      <c r="I1" s="1212">
        <f ca="1">F4/100</f>
        <v>1.4999999999999999E-2</v>
      </c>
      <c r="J1" s="1217">
        <f>IF(C1&gt;C13,0,MATCH(C1,C$13:C$113,-1))+IF(SUMIF(C13:C113,C1,D13:D113)=0,13,12)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3.35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3.35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3.35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3.35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3.85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4">
        <v>45495</v>
      </c>
      <c r="D13" s="1200">
        <v>3.35</v>
      </c>
      <c r="E13" s="1200">
        <f>D13</f>
        <v>3.35</v>
      </c>
      <c r="F13" s="1200">
        <f>D13</f>
        <v>3.35</v>
      </c>
      <c r="G13" s="1200">
        <f>D13</f>
        <v>3.35</v>
      </c>
      <c r="H13" s="1200">
        <v>3.85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45342</v>
      </c>
      <c r="D14" s="1204">
        <v>3.45</v>
      </c>
      <c r="E14" s="1204">
        <f>D14</f>
        <v>3.45</v>
      </c>
      <c r="F14" s="1204">
        <f>D14</f>
        <v>3.45</v>
      </c>
      <c r="G14" s="1204">
        <f>D14</f>
        <v>3.45</v>
      </c>
      <c r="H14" s="1204">
        <v>3.95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45159</v>
      </c>
      <c r="D15" s="1204">
        <v>3.45</v>
      </c>
      <c r="E15" s="1204">
        <f>D15</f>
        <v>3.45</v>
      </c>
      <c r="F15" s="1204">
        <f>D15</f>
        <v>3.45</v>
      </c>
      <c r="G15" s="1204">
        <f>D15</f>
        <v>3.45</v>
      </c>
      <c r="H15" s="1204">
        <v>4.2</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45097</v>
      </c>
      <c r="D16" s="1204">
        <v>3.55</v>
      </c>
      <c r="E16" s="1204">
        <f>D16</f>
        <v>3.55</v>
      </c>
      <c r="F16" s="1204">
        <f>D16</f>
        <v>3.55</v>
      </c>
      <c r="G16" s="1204">
        <f>D16</f>
        <v>3.55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44795</v>
      </c>
      <c r="D17" s="1204">
        <v>3.65</v>
      </c>
      <c r="E17" s="1204">
        <v>3.65</v>
      </c>
      <c r="F17" s="1204">
        <v>3.65</v>
      </c>
      <c r="G17" s="1204">
        <v>3.65</v>
      </c>
      <c r="H17" s="1204">
        <v>4.3</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44701</v>
      </c>
      <c r="D18" s="1204">
        <v>3.7</v>
      </c>
      <c r="E18" s="1204">
        <f>D18</f>
        <v>3.7</v>
      </c>
      <c r="F18" s="1204">
        <f>D18</f>
        <v>3.7</v>
      </c>
      <c r="G18" s="1204">
        <f>D18</f>
        <v>3.7</v>
      </c>
      <c r="H18" s="1204">
        <v>4.45</v>
      </c>
      <c r="I18" s="1200"/>
      <c r="J18" s="1200"/>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8"/>
      <c r="B19" s="1199"/>
      <c r="C19" s="1205">
        <v>44581</v>
      </c>
      <c r="D19" s="1204">
        <v>3.7</v>
      </c>
      <c r="E19" s="1204">
        <f>D19</f>
        <v>3.7</v>
      </c>
      <c r="F19" s="1204">
        <f>D19</f>
        <v>3.7</v>
      </c>
      <c r="G19" s="1204">
        <f>D19</f>
        <v>3.7</v>
      </c>
      <c r="H19" s="1204">
        <v>4.5999999999999996</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44550</v>
      </c>
      <c r="D20" s="1204">
        <v>3.8</v>
      </c>
      <c r="E20" s="1204">
        <f>D20</f>
        <v>3.8</v>
      </c>
      <c r="F20" s="1204">
        <f>D20</f>
        <v>3.8</v>
      </c>
      <c r="G20" s="1204">
        <f>D20</f>
        <v>3.8</v>
      </c>
      <c r="H20" s="1204">
        <v>4.6500000000000004</v>
      </c>
      <c r="I20" s="1204"/>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43941</v>
      </c>
      <c r="D21" s="1204">
        <v>3.85</v>
      </c>
      <c r="E21" s="1204">
        <v>3.85</v>
      </c>
      <c r="F21" s="1204">
        <v>3.85</v>
      </c>
      <c r="G21" s="1204">
        <v>3.85</v>
      </c>
      <c r="H21" s="1204">
        <v>4.6500000000000004</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43881</v>
      </c>
      <c r="D22" s="1204">
        <v>4.05</v>
      </c>
      <c r="E22" s="1204">
        <v>4.05</v>
      </c>
      <c r="F22" s="1204">
        <v>4.05</v>
      </c>
      <c r="G22" s="1204">
        <v>4.05</v>
      </c>
      <c r="H22" s="1204">
        <v>4.75</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5"/>
      <c r="B23" s="1204"/>
      <c r="C23" s="1205">
        <v>43789</v>
      </c>
      <c r="D23" s="1204">
        <v>4.1500000000000004</v>
      </c>
      <c r="E23" s="1204">
        <v>4.1500000000000004</v>
      </c>
      <c r="F23" s="1204">
        <v>4.1500000000000004</v>
      </c>
      <c r="G23" s="1204">
        <v>4.1500000000000004</v>
      </c>
      <c r="H23" s="1204">
        <v>4.8</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43728</v>
      </c>
      <c r="D24" s="1204">
        <v>4.2</v>
      </c>
      <c r="E24" s="1204">
        <v>4.2</v>
      </c>
      <c r="F24" s="1204">
        <v>4.2</v>
      </c>
      <c r="G24" s="1204">
        <v>4.2</v>
      </c>
      <c r="H24" s="1204">
        <v>4.8499999999999996</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ht="14.25">
      <c r="B25" s="1199" t="s">
        <v>2309</v>
      </c>
      <c r="C25" s="1206">
        <v>43697</v>
      </c>
      <c r="D25" s="2573">
        <v>4.25</v>
      </c>
      <c r="E25" s="2573">
        <v>4.25</v>
      </c>
      <c r="F25" s="2573">
        <v>4.25</v>
      </c>
      <c r="G25" s="2573">
        <v>4.25</v>
      </c>
      <c r="H25" s="2573">
        <v>4.8499999999999996</v>
      </c>
      <c r="I25" s="2573"/>
      <c r="J25" s="2573"/>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2576"/>
      <c r="C26" s="2577">
        <v>42301</v>
      </c>
      <c r="D26" s="2578">
        <v>4.3499999999999996</v>
      </c>
      <c r="E26" s="2578">
        <v>4.3499999999999996</v>
      </c>
      <c r="F26" s="2578">
        <v>4.75</v>
      </c>
      <c r="G26" s="2578">
        <v>4.75</v>
      </c>
      <c r="H26" s="2578">
        <v>4.9000000000000004</v>
      </c>
      <c r="I26" s="2578"/>
      <c r="J26" s="2578"/>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42242</v>
      </c>
      <c r="D27" s="1204">
        <v>4.5999999999999996</v>
      </c>
      <c r="E27" s="1204">
        <v>4.5999999999999996</v>
      </c>
      <c r="F27" s="1204">
        <v>5</v>
      </c>
      <c r="G27" s="1204">
        <v>5</v>
      </c>
      <c r="H27" s="1204">
        <v>5.15</v>
      </c>
      <c r="I27" s="1204">
        <v>2.75</v>
      </c>
      <c r="J27" s="1204">
        <v>3.25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42183</v>
      </c>
      <c r="D28" s="1204">
        <v>4.8499999999999996</v>
      </c>
      <c r="E28" s="1204">
        <v>4.8499999999999996</v>
      </c>
      <c r="F28" s="1204">
        <v>5.25</v>
      </c>
      <c r="G28" s="1204">
        <v>5.25</v>
      </c>
      <c r="H28" s="1204">
        <v>5.4</v>
      </c>
      <c r="I28" s="1204">
        <v>3</v>
      </c>
      <c r="J28" s="1204">
        <v>3.5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42135</v>
      </c>
      <c r="D29" s="1204">
        <v>5.0999999999999996</v>
      </c>
      <c r="E29" s="1204">
        <v>5.0999999999999996</v>
      </c>
      <c r="F29" s="1204">
        <v>5.5</v>
      </c>
      <c r="G29" s="1204">
        <v>5.5</v>
      </c>
      <c r="H29" s="1204">
        <v>5.65</v>
      </c>
      <c r="I29" s="1204">
        <v>3.25</v>
      </c>
      <c r="J29" s="1204">
        <v>3.75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42064</v>
      </c>
      <c r="D30" s="1204">
        <v>5.35</v>
      </c>
      <c r="E30" s="1204">
        <v>5.35</v>
      </c>
      <c r="F30" s="1204">
        <v>5.75</v>
      </c>
      <c r="G30" s="1204">
        <v>5.75</v>
      </c>
      <c r="H30" s="1204">
        <v>5.9</v>
      </c>
      <c r="I30" s="1204"/>
      <c r="J30" s="1204"/>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41965</v>
      </c>
      <c r="D31" s="1204">
        <v>5.6</v>
      </c>
      <c r="E31" s="1204">
        <v>5.6</v>
      </c>
      <c r="F31" s="1204">
        <v>6</v>
      </c>
      <c r="G31" s="1204">
        <v>6</v>
      </c>
      <c r="H31" s="1204">
        <v>6.15</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41096</v>
      </c>
      <c r="D32" s="1204">
        <v>5.6</v>
      </c>
      <c r="E32" s="1204">
        <v>6</v>
      </c>
      <c r="F32" s="1204">
        <v>6.15</v>
      </c>
      <c r="G32" s="1204">
        <v>6.4</v>
      </c>
      <c r="H32" s="1204">
        <v>6.55</v>
      </c>
      <c r="I32" s="1204">
        <v>4</v>
      </c>
      <c r="J32" s="1204">
        <v>4.5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41068</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40731</v>
      </c>
      <c r="D34" s="1204">
        <v>6.1</v>
      </c>
      <c r="E34" s="1204">
        <v>6.56</v>
      </c>
      <c r="F34" s="1204">
        <v>6.65</v>
      </c>
      <c r="G34" s="1204">
        <v>6.9</v>
      </c>
      <c r="H34" s="1204">
        <v>7.05</v>
      </c>
      <c r="I34" s="1204">
        <v>4.45</v>
      </c>
      <c r="J34" s="1204">
        <v>4.9000000000000004</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40639</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40583</v>
      </c>
      <c r="D36" s="1204">
        <v>5.6</v>
      </c>
      <c r="E36" s="1204">
        <v>6.06</v>
      </c>
      <c r="F36" s="1204">
        <v>6.1</v>
      </c>
      <c r="G36" s="1204">
        <v>6.45</v>
      </c>
      <c r="H36" s="1204">
        <v>6.6</v>
      </c>
      <c r="I36" s="1204">
        <v>4</v>
      </c>
      <c r="J36" s="1204">
        <v>4.5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40538</v>
      </c>
      <c r="D37" s="1204">
        <v>5.35</v>
      </c>
      <c r="E37" s="1204">
        <v>5.81</v>
      </c>
      <c r="F37" s="1204">
        <v>5.85</v>
      </c>
      <c r="G37" s="1204">
        <v>6.22</v>
      </c>
      <c r="H37" s="1204">
        <v>6.4</v>
      </c>
      <c r="I37" s="1204">
        <v>3.75</v>
      </c>
      <c r="J37" s="1204">
        <v>4.3</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40471</v>
      </c>
      <c r="D38" s="1204">
        <v>5.0999999999999996</v>
      </c>
      <c r="E38" s="1204">
        <v>5.56</v>
      </c>
      <c r="F38" s="1204">
        <v>5.6</v>
      </c>
      <c r="G38" s="1204">
        <v>5.96</v>
      </c>
      <c r="H38" s="1204">
        <v>6.14</v>
      </c>
      <c r="I38" s="1204">
        <v>3.5</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39805</v>
      </c>
      <c r="D39" s="1204">
        <v>4.8600000000000003</v>
      </c>
      <c r="E39" s="1204">
        <v>5.31</v>
      </c>
      <c r="F39" s="1204">
        <v>5.4</v>
      </c>
      <c r="G39" s="1204">
        <v>5.76</v>
      </c>
      <c r="H39" s="1204">
        <v>5.94</v>
      </c>
      <c r="I39" s="1204">
        <v>3.33</v>
      </c>
      <c r="J39" s="1204">
        <v>3.87</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39779</v>
      </c>
      <c r="D40" s="1204">
        <v>5.04</v>
      </c>
      <c r="E40" s="1204">
        <v>5.58</v>
      </c>
      <c r="F40" s="1204">
        <v>5.67</v>
      </c>
      <c r="G40" s="1204">
        <v>5.94</v>
      </c>
      <c r="H40" s="1204">
        <v>6.12</v>
      </c>
      <c r="I40" s="1204">
        <v>3.51</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39751</v>
      </c>
      <c r="D41" s="1204">
        <v>6.03</v>
      </c>
      <c r="E41" s="1204">
        <v>6.66</v>
      </c>
      <c r="F41" s="1204">
        <v>6.75</v>
      </c>
      <c r="G41" s="1204">
        <v>7.02</v>
      </c>
      <c r="H41" s="1204">
        <v>7.2</v>
      </c>
      <c r="I41" s="1204">
        <v>4.05</v>
      </c>
      <c r="J41" s="1204">
        <v>4.59</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6">
        <v>39748</v>
      </c>
      <c r="D42" s="1204">
        <v>6.12</v>
      </c>
      <c r="E42" s="1204">
        <v>6.93</v>
      </c>
      <c r="F42" s="1204">
        <v>7.02</v>
      </c>
      <c r="G42" s="1204">
        <v>7.29</v>
      </c>
      <c r="H42" s="1204">
        <v>7.47</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39730</v>
      </c>
      <c r="D43" s="1204">
        <v>6.12</v>
      </c>
      <c r="E43" s="1204">
        <v>6.93</v>
      </c>
      <c r="F43" s="1204">
        <v>7.02</v>
      </c>
      <c r="G43" s="1204">
        <v>7.29</v>
      </c>
      <c r="H43" s="1204">
        <v>7.47</v>
      </c>
      <c r="I43" s="1204">
        <v>4.32</v>
      </c>
      <c r="J43" s="1204">
        <v>4.8600000000000003</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39707</v>
      </c>
      <c r="D44" s="1204">
        <v>6.21</v>
      </c>
      <c r="E44" s="1204">
        <v>7.2</v>
      </c>
      <c r="F44" s="1204">
        <v>7.29</v>
      </c>
      <c r="G44" s="1204">
        <v>7.56</v>
      </c>
      <c r="H44" s="1204">
        <v>7.74</v>
      </c>
      <c r="I44" s="1204">
        <v>4.59</v>
      </c>
      <c r="J44" s="1204">
        <v>5.13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39437</v>
      </c>
      <c r="D45" s="1204">
        <v>6.57</v>
      </c>
      <c r="E45" s="1204">
        <v>7.47</v>
      </c>
      <c r="F45" s="1204">
        <v>7.56</v>
      </c>
      <c r="G45" s="1204">
        <v>7.74</v>
      </c>
      <c r="H45" s="1204">
        <v>7.83</v>
      </c>
      <c r="I45" s="1204">
        <v>4.7699999999999996</v>
      </c>
      <c r="J45" s="1204">
        <v>5.22</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39340</v>
      </c>
      <c r="D46" s="1204">
        <v>6.48</v>
      </c>
      <c r="E46" s="1204">
        <v>7.29</v>
      </c>
      <c r="F46" s="1204">
        <v>7.47</v>
      </c>
      <c r="G46" s="1204">
        <v>7.65</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39316</v>
      </c>
      <c r="D47" s="1204">
        <v>6.21</v>
      </c>
      <c r="E47" s="1204">
        <v>7.02</v>
      </c>
      <c r="F47" s="1204">
        <v>7.2</v>
      </c>
      <c r="G47" s="1204">
        <v>7.38</v>
      </c>
      <c r="H47" s="1204">
        <v>7.56</v>
      </c>
      <c r="I47" s="1204">
        <v>4.59</v>
      </c>
      <c r="J47" s="1204">
        <v>5.04</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39284</v>
      </c>
      <c r="D48" s="1204">
        <v>6.03</v>
      </c>
      <c r="E48" s="1204">
        <v>6.84</v>
      </c>
      <c r="F48" s="1204">
        <v>7.02</v>
      </c>
      <c r="G48" s="1204">
        <v>7.2</v>
      </c>
      <c r="H48" s="1204">
        <v>7.38</v>
      </c>
      <c r="I48" s="1204">
        <v>4.5</v>
      </c>
      <c r="J48" s="1204">
        <v>4.95</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39221</v>
      </c>
      <c r="D49" s="1204">
        <v>5.85</v>
      </c>
      <c r="E49" s="1204">
        <v>6.57</v>
      </c>
      <c r="F49" s="1204">
        <v>6.75</v>
      </c>
      <c r="G49" s="1204">
        <v>6.93</v>
      </c>
      <c r="H49" s="1204">
        <v>7.2</v>
      </c>
      <c r="I49" s="1204">
        <v>4.41</v>
      </c>
      <c r="J49" s="1204">
        <v>4.8600000000000003</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39159</v>
      </c>
      <c r="D50" s="1204">
        <v>5.67</v>
      </c>
      <c r="E50" s="1204">
        <v>6.39</v>
      </c>
      <c r="F50" s="1204">
        <v>6.57</v>
      </c>
      <c r="G50" s="1204">
        <v>6.75</v>
      </c>
      <c r="H50" s="1204">
        <v>7.11</v>
      </c>
      <c r="I50" s="1204">
        <v>4.32</v>
      </c>
      <c r="J50" s="1204">
        <v>4.7699999999999996</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38948</v>
      </c>
      <c r="D51" s="1204">
        <v>5.58</v>
      </c>
      <c r="E51" s="1204">
        <v>6.12</v>
      </c>
      <c r="F51" s="1204">
        <v>6.3</v>
      </c>
      <c r="G51" s="1204">
        <v>6.48</v>
      </c>
      <c r="H51" s="1204">
        <v>6.84</v>
      </c>
      <c r="I51" s="1204">
        <v>4.1399999999999997</v>
      </c>
      <c r="J51" s="1204">
        <v>4.59</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38835</v>
      </c>
      <c r="D52" s="1204">
        <v>5.4</v>
      </c>
      <c r="E52" s="1204">
        <v>5.85</v>
      </c>
      <c r="F52" s="1204">
        <v>6.03</v>
      </c>
      <c r="G52" s="1204">
        <v>6.12</v>
      </c>
      <c r="H52" s="1204">
        <v>6.39</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38428</v>
      </c>
      <c r="D53" s="1204">
        <v>5.22</v>
      </c>
      <c r="E53" s="1204">
        <v>5.58</v>
      </c>
      <c r="F53" s="1204">
        <v>5.76</v>
      </c>
      <c r="G53" s="1204">
        <v>5.85</v>
      </c>
      <c r="H53" s="1204">
        <v>6.12</v>
      </c>
      <c r="I53" s="1204">
        <v>3.96</v>
      </c>
      <c r="J53" s="1204">
        <v>4.41</v>
      </c>
      <c r="L53" s="1204"/>
      <c r="M53" s="1205"/>
      <c r="N53" s="1204"/>
      <c r="O53" s="1204"/>
      <c r="P53" s="1204"/>
      <c r="Q53" s="1204"/>
      <c r="R53" s="1204"/>
      <c r="S53" s="1204"/>
      <c r="T53" s="1204"/>
      <c r="U53" s="1204"/>
      <c r="V53" s="1204"/>
      <c r="W53" s="1204"/>
      <c r="X53" s="1204"/>
      <c r="Y53" s="1204"/>
      <c r="Z53" s="1204"/>
    </row>
    <row r="54" spans="2:26">
      <c r="B54" s="1204"/>
      <c r="C54" s="1205">
        <v>38289</v>
      </c>
      <c r="D54" s="1204">
        <v>5.22</v>
      </c>
      <c r="E54" s="1204">
        <v>5.58</v>
      </c>
      <c r="F54" s="1204">
        <v>5.76</v>
      </c>
      <c r="G54" s="1204">
        <v>5.85</v>
      </c>
      <c r="H54" s="1204">
        <v>6.12</v>
      </c>
      <c r="I54" s="1204">
        <v>3.78</v>
      </c>
      <c r="J54" s="1204">
        <v>4.2300000000000004</v>
      </c>
      <c r="L54" s="1204"/>
      <c r="M54" s="1205"/>
      <c r="N54" s="1204"/>
      <c r="O54" s="1204"/>
      <c r="P54" s="1204"/>
      <c r="Q54" s="1204"/>
      <c r="R54" s="1204"/>
      <c r="S54" s="1204"/>
      <c r="T54" s="1204"/>
      <c r="U54" s="1204"/>
      <c r="V54" s="1204"/>
      <c r="W54" s="1204"/>
      <c r="X54" s="1204"/>
      <c r="Y54" s="1204"/>
      <c r="Z54" s="1204"/>
    </row>
    <row r="55" spans="2:26">
      <c r="B55" s="1204"/>
      <c r="C55" s="1205">
        <v>37308</v>
      </c>
      <c r="D55" s="1204">
        <v>5.04</v>
      </c>
      <c r="E55" s="1204">
        <v>5.31</v>
      </c>
      <c r="F55" s="1204">
        <v>5.49</v>
      </c>
      <c r="G55" s="1204">
        <v>5.58</v>
      </c>
      <c r="H55" s="1204">
        <v>5.76</v>
      </c>
      <c r="I55" s="1204">
        <v>3.6</v>
      </c>
      <c r="J55" s="1204">
        <v>4.05</v>
      </c>
      <c r="L55" s="1204"/>
      <c r="M55" s="1205"/>
      <c r="N55" s="1204"/>
      <c r="O55" s="1204"/>
      <c r="P55" s="1204"/>
      <c r="Q55" s="1204"/>
      <c r="R55" s="1204"/>
      <c r="S55" s="1204"/>
      <c r="T55" s="1204"/>
      <c r="U55" s="1204"/>
      <c r="V55" s="1204"/>
      <c r="W55" s="1204"/>
      <c r="X55" s="1204"/>
      <c r="Y55" s="1204"/>
      <c r="Z55" s="1204"/>
    </row>
    <row r="56" spans="2:26">
      <c r="B56" s="1204"/>
      <c r="C56" s="1205">
        <v>36321</v>
      </c>
      <c r="D56" s="1204">
        <v>5.58</v>
      </c>
      <c r="E56" s="1204">
        <v>5.85</v>
      </c>
      <c r="F56" s="1204">
        <v>5.94</v>
      </c>
      <c r="G56" s="1204">
        <v>6.03</v>
      </c>
      <c r="H56" s="1204">
        <v>6.21</v>
      </c>
      <c r="I56" s="1204">
        <v>4.1399999999999997</v>
      </c>
      <c r="J56" s="1204">
        <v>4.59</v>
      </c>
      <c r="L56" s="1204"/>
      <c r="M56" s="1205"/>
      <c r="N56" s="1204"/>
      <c r="O56" s="1204"/>
      <c r="P56" s="1204"/>
      <c r="Q56" s="1204"/>
      <c r="R56" s="1204"/>
      <c r="S56" s="1204"/>
      <c r="T56" s="1204"/>
      <c r="U56" s="1204"/>
      <c r="V56" s="1204"/>
      <c r="W56" s="1204"/>
      <c r="X56" s="1204"/>
      <c r="Y56" s="1204"/>
      <c r="Z56" s="1204"/>
    </row>
    <row r="57" spans="2:26">
      <c r="B57" s="1204"/>
      <c r="C57" s="1205">
        <v>36136</v>
      </c>
      <c r="D57" s="1204">
        <v>6.12</v>
      </c>
      <c r="E57" s="1204">
        <v>6.39</v>
      </c>
      <c r="F57" s="1204">
        <v>6.66</v>
      </c>
      <c r="G57" s="1204">
        <v>7.2</v>
      </c>
      <c r="H57" s="1204">
        <v>7.56</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35977</v>
      </c>
      <c r="D58" s="1204">
        <v>6.57</v>
      </c>
      <c r="E58" s="1204">
        <v>6.93</v>
      </c>
      <c r="F58" s="1204">
        <v>7.11</v>
      </c>
      <c r="G58" s="1204">
        <v>7.65</v>
      </c>
      <c r="H58" s="1204">
        <v>8.01</v>
      </c>
      <c r="I58" s="1204">
        <v>0</v>
      </c>
      <c r="J58" s="1204">
        <v>0</v>
      </c>
    </row>
    <row r="59" spans="2:26">
      <c r="B59" s="1204"/>
      <c r="C59" s="1205">
        <v>35879</v>
      </c>
      <c r="D59" s="1204">
        <v>7.02</v>
      </c>
      <c r="E59" s="1204">
        <v>7.92</v>
      </c>
      <c r="F59" s="1204">
        <v>9</v>
      </c>
      <c r="G59" s="1204">
        <v>9.7200000000000006</v>
      </c>
      <c r="H59" s="1204">
        <v>10.35</v>
      </c>
      <c r="I59" s="1204">
        <v>0</v>
      </c>
      <c r="J59" s="1204">
        <v>0</v>
      </c>
    </row>
    <row r="60" spans="2:26">
      <c r="B60" s="1204"/>
      <c r="C60" s="1205">
        <v>35726</v>
      </c>
      <c r="D60" s="1204">
        <v>7.65</v>
      </c>
      <c r="E60" s="1204">
        <v>8.64</v>
      </c>
      <c r="F60" s="1204">
        <v>9.36</v>
      </c>
      <c r="G60" s="1204">
        <v>9.9</v>
      </c>
      <c r="H60" s="1204">
        <v>10.53</v>
      </c>
      <c r="I60" s="1204">
        <v>0</v>
      </c>
      <c r="J60" s="1204">
        <v>0</v>
      </c>
    </row>
    <row r="61" spans="2:26">
      <c r="B61" s="1204"/>
      <c r="C61" s="1205">
        <v>35300</v>
      </c>
      <c r="D61" s="1204">
        <v>9.18</v>
      </c>
      <c r="E61" s="1204">
        <v>10.08</v>
      </c>
      <c r="F61" s="1204">
        <v>10.98</v>
      </c>
      <c r="G61" s="1204">
        <v>11.7</v>
      </c>
      <c r="H61" s="1204">
        <v>12.42</v>
      </c>
      <c r="I61" s="1204">
        <v>0</v>
      </c>
      <c r="J61" s="1204">
        <v>0</v>
      </c>
    </row>
    <row r="62" spans="2:26">
      <c r="B62" s="1204"/>
      <c r="C62" s="1205">
        <v>35186</v>
      </c>
      <c r="D62" s="1204">
        <v>9.7200000000000006</v>
      </c>
      <c r="E62" s="1204">
        <v>10.98</v>
      </c>
      <c r="F62" s="1204">
        <v>13.14</v>
      </c>
      <c r="G62" s="1204">
        <v>14.94</v>
      </c>
      <c r="H62" s="1204">
        <v>15.12</v>
      </c>
      <c r="I62" s="1204">
        <v>0</v>
      </c>
      <c r="J62" s="1204">
        <v>0</v>
      </c>
    </row>
    <row r="63" spans="2:26">
      <c r="B63" s="1204"/>
      <c r="C63" s="1205">
        <v>34881</v>
      </c>
      <c r="D63" s="1204">
        <v>10.08</v>
      </c>
      <c r="E63" s="1204">
        <v>12.06</v>
      </c>
      <c r="F63" s="1204">
        <v>13.5</v>
      </c>
      <c r="G63" s="1204">
        <v>15.12</v>
      </c>
      <c r="H63" s="1204">
        <v>15.3</v>
      </c>
      <c r="I63" s="1204">
        <v>0</v>
      </c>
      <c r="J63" s="1204">
        <v>0</v>
      </c>
    </row>
    <row r="64" spans="2:26">
      <c r="B64" s="1204"/>
      <c r="C64" s="1205">
        <v>34700</v>
      </c>
      <c r="D64" s="1204">
        <v>9</v>
      </c>
      <c r="E64" s="1204">
        <v>10.98</v>
      </c>
      <c r="F64" s="1204">
        <v>12.96</v>
      </c>
      <c r="G64" s="1204">
        <v>14.58</v>
      </c>
      <c r="H64" s="1204">
        <v>14.76</v>
      </c>
      <c r="I64" s="1204">
        <v>0</v>
      </c>
      <c r="J64" s="1204">
        <v>0</v>
      </c>
    </row>
    <row r="65" spans="2:10">
      <c r="B65" s="1204"/>
      <c r="C65" s="1205">
        <v>34161</v>
      </c>
      <c r="D65" s="1204">
        <v>9</v>
      </c>
      <c r="E65" s="1204">
        <v>10.98</v>
      </c>
      <c r="F65" s="1204">
        <v>12.24</v>
      </c>
      <c r="G65" s="1204">
        <v>13.86</v>
      </c>
      <c r="H65" s="1204">
        <v>14.04</v>
      </c>
      <c r="I65" s="1204">
        <v>0</v>
      </c>
      <c r="J65" s="1204">
        <v>0</v>
      </c>
    </row>
    <row r="66" spans="2:10">
      <c r="B66" s="1204"/>
      <c r="C66" s="1205">
        <v>34104</v>
      </c>
      <c r="D66" s="1204">
        <v>8.82</v>
      </c>
      <c r="E66" s="1204">
        <v>9.36</v>
      </c>
      <c r="F66" s="1204">
        <v>10.8</v>
      </c>
      <c r="G66" s="1204">
        <v>12.06</v>
      </c>
      <c r="H66" s="1204">
        <v>12.24</v>
      </c>
      <c r="I66" s="1204">
        <v>0</v>
      </c>
      <c r="J66" s="1204">
        <v>0</v>
      </c>
    </row>
    <row r="67" spans="2:10">
      <c r="B67" s="1204"/>
      <c r="C67" s="1205">
        <v>33349</v>
      </c>
      <c r="D67" s="1204">
        <v>8.1</v>
      </c>
      <c r="E67" s="1204">
        <v>8.64</v>
      </c>
      <c r="F67" s="1204">
        <v>9</v>
      </c>
      <c r="G67" s="1204">
        <v>9.5399999999999991</v>
      </c>
      <c r="H67" s="1204">
        <v>9.7200000000000006</v>
      </c>
      <c r="I67" s="1204">
        <v>0</v>
      </c>
      <c r="J67" s="1204">
        <v>0</v>
      </c>
    </row>
    <row r="68" spans="2:10">
      <c r="B68" s="1204"/>
      <c r="C68" s="1205">
        <v>33318</v>
      </c>
      <c r="D68" s="1204">
        <v>9</v>
      </c>
      <c r="E68" s="1204">
        <v>10.08</v>
      </c>
      <c r="F68" s="1204">
        <v>10.8</v>
      </c>
      <c r="G68" s="1204">
        <v>11.52</v>
      </c>
      <c r="H68" s="1204">
        <v>11.88</v>
      </c>
      <c r="I68" s="1204" t="s">
        <v>633</v>
      </c>
      <c r="J68" s="1204" t="s">
        <v>633</v>
      </c>
    </row>
    <row r="69" spans="2:10">
      <c r="B69" s="1204"/>
      <c r="C69" s="1205">
        <v>33106</v>
      </c>
      <c r="D69" s="1204">
        <v>8.64</v>
      </c>
      <c r="E69" s="1204">
        <v>9.36</v>
      </c>
      <c r="F69" s="1204">
        <v>10.08</v>
      </c>
      <c r="G69" s="1204">
        <v>10.8</v>
      </c>
      <c r="H69" s="1204">
        <v>11.16</v>
      </c>
      <c r="I69" s="1204">
        <v>0</v>
      </c>
      <c r="J69" s="1204">
        <v>0</v>
      </c>
    </row>
    <row r="70" spans="2:10">
      <c r="B70" s="1204"/>
      <c r="C70" s="1205">
        <v>32540</v>
      </c>
      <c r="D70" s="1204">
        <v>11.34</v>
      </c>
      <c r="E70" s="1204">
        <v>11.34</v>
      </c>
      <c r="F70" s="1204">
        <v>12.78</v>
      </c>
      <c r="G70" s="1204">
        <v>14.4</v>
      </c>
      <c r="H70" s="1204">
        <v>19.260000000000002</v>
      </c>
      <c r="I70" s="1204">
        <v>0</v>
      </c>
      <c r="J70" s="1204">
        <v>0</v>
      </c>
    </row>
    <row r="71" spans="2:10">
      <c r="B71" s="1204"/>
      <c r="C71" s="1205"/>
      <c r="D71" s="1204"/>
      <c r="E71" s="1204"/>
      <c r="F71" s="1204"/>
      <c r="G71" s="1204"/>
      <c r="H71" s="1204"/>
      <c r="I71" s="1204"/>
      <c r="J71" s="1204"/>
    </row>
    <row r="72" spans="2:10">
      <c r="B72" s="1207"/>
      <c r="C72" s="1208"/>
      <c r="D72" s="1207"/>
      <c r="E72" s="1207"/>
      <c r="F72" s="1207"/>
      <c r="G72" s="1207"/>
      <c r="H72" s="1207"/>
      <c r="I72" s="1207"/>
      <c r="J72" s="1207"/>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158"/>
      <c r="C75" s="1158"/>
      <c r="D75" s="1158"/>
      <c r="E75" s="1158"/>
      <c r="F75" s="1158"/>
      <c r="G75" s="1158"/>
      <c r="H75" s="1158"/>
      <c r="I75" s="1158"/>
      <c r="J75" s="1158"/>
    </row>
    <row r="76" spans="2:10">
      <c r="B76" s="1158"/>
      <c r="C76" s="1158"/>
      <c r="D76" s="1158"/>
      <c r="E76" s="1158"/>
      <c r="F76" s="1158"/>
      <c r="G76" s="1158"/>
      <c r="H76" s="1158"/>
      <c r="I76" s="1158"/>
      <c r="J76"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61" t="str">
        <f>IF(项目基本情况!B9="房地产市场价值","估价结果一览表","结果表-2")</f>
        <v>结果表-2</v>
      </c>
      <c r="B1" s="3161"/>
      <c r="C1" s="3161"/>
      <c r="D1" s="3161"/>
      <c r="E1" s="3161"/>
      <c r="F1" s="3161"/>
      <c r="G1" s="3161"/>
      <c r="H1" s="3161"/>
      <c r="I1" s="3161"/>
    </row>
    <row r="2" spans="1:9" ht="30" customHeight="1" thickTop="1">
      <c r="A2" s="3162" t="s">
        <v>928</v>
      </c>
      <c r="B2" s="3162" t="s">
        <v>929</v>
      </c>
      <c r="C2" s="3162" t="s">
        <v>930</v>
      </c>
      <c r="D2" s="3162" t="str">
        <f>结果表!D116</f>
        <v>出让国有建设用地使用权价值</v>
      </c>
      <c r="E2" s="3162"/>
      <c r="F2" s="3162" t="str">
        <f>结果表!F116</f>
        <v>在建建筑物价值</v>
      </c>
      <c r="G2" s="3162"/>
      <c r="H2" s="3162" t="str">
        <f>IF(项目基本情况!B9="房地产市场价值","房地产市场价值","房地产价值")</f>
        <v>房地产价值</v>
      </c>
      <c r="I2" s="3162"/>
    </row>
    <row r="3" spans="1:9" ht="15">
      <c r="A3" s="3163"/>
      <c r="B3" s="3163"/>
      <c r="C3" s="3163"/>
      <c r="D3" s="801" t="s">
        <v>925</v>
      </c>
      <c r="E3" s="801" t="s">
        <v>931</v>
      </c>
      <c r="F3" s="801" t="s">
        <v>925</v>
      </c>
      <c r="G3" s="801" t="s">
        <v>926</v>
      </c>
      <c r="H3" s="801" t="s">
        <v>925</v>
      </c>
      <c r="I3" s="801" t="s">
        <v>926</v>
      </c>
    </row>
    <row r="4" spans="1:9" ht="15">
      <c r="A4" s="1402" t="str">
        <f>项目基本情况!S2</f>
        <v>重庆市永川区房地产</v>
      </c>
      <c r="B4" s="801">
        <f>项目基本情况!C17</f>
        <v>2375.33</v>
      </c>
      <c r="C4" s="801">
        <f>项目基本情况!C18</f>
        <v>0</v>
      </c>
      <c r="D4" s="801">
        <f ca="1">结果表!D118</f>
        <v>461</v>
      </c>
      <c r="E4" s="801">
        <f ca="1">结果表!E118</f>
        <v>1941</v>
      </c>
      <c r="F4" s="801">
        <f ca="1">结果表!F118</f>
        <v>1106</v>
      </c>
      <c r="G4" s="801">
        <f ca="1">结果表!G118</f>
        <v>4656</v>
      </c>
      <c r="H4" s="801">
        <f ca="1">结果表!H118</f>
        <v>1567</v>
      </c>
      <c r="I4" s="801">
        <f ca="1">结果表!I118</f>
        <v>6597</v>
      </c>
    </row>
    <row r="5" spans="1:9" ht="30" customHeight="1">
      <c r="A5" s="3163" t="s">
        <v>927</v>
      </c>
      <c r="B5" s="3163"/>
      <c r="C5" s="3163"/>
      <c r="D5" s="3163" t="str">
        <f ca="1">结果表!D119</f>
        <v>肆佰陆拾壹万元整</v>
      </c>
      <c r="E5" s="3163"/>
      <c r="F5" s="3163" t="str">
        <f ca="1">结果表!F119</f>
        <v>壹仟壹佰零陆万元整</v>
      </c>
      <c r="G5" s="3163"/>
      <c r="H5" s="3163" t="str">
        <f ca="1">结果表!H119</f>
        <v>壹仟伍佰陆拾柒万元整</v>
      </c>
      <c r="I5" s="3163"/>
    </row>
    <row r="6" spans="1:9" ht="15.75">
      <c r="A6" s="3164" t="str">
        <f>结果表!A120</f>
        <v>估价师知悉的法定优先受偿款</v>
      </c>
      <c r="B6" s="3164"/>
      <c r="C6" s="3164"/>
      <c r="D6" s="3164">
        <f>结果表!D120</f>
        <v>0</v>
      </c>
      <c r="E6" s="3164"/>
      <c r="F6" s="3164"/>
      <c r="G6" s="3164"/>
      <c r="H6" s="3164"/>
      <c r="I6" s="3164"/>
    </row>
    <row r="7" spans="1:9" ht="15">
      <c r="A7" s="3163" t="s">
        <v>927</v>
      </c>
      <c r="B7" s="3163"/>
      <c r="C7" s="3163"/>
      <c r="D7" s="3165" t="str">
        <f>结果表!D121</f>
        <v>零元整</v>
      </c>
      <c r="E7" s="3166"/>
      <c r="F7" s="3166"/>
      <c r="G7" s="3166"/>
      <c r="H7" s="3166"/>
      <c r="I7" s="3167"/>
    </row>
    <row r="8" spans="1:9" ht="15.75">
      <c r="A8" s="3164" t="str">
        <f>结果表!A122</f>
        <v>房地产抵押价值</v>
      </c>
      <c r="B8" s="3164"/>
      <c r="C8" s="3164"/>
      <c r="D8" s="3164">
        <f ca="1">结果表!D122</f>
        <v>1567</v>
      </c>
      <c r="E8" s="3164"/>
      <c r="F8" s="3164"/>
      <c r="G8" s="3164"/>
      <c r="H8" s="3164"/>
      <c r="I8" s="3164"/>
    </row>
    <row r="9" spans="1:9" ht="15">
      <c r="A9" s="3163" t="s">
        <v>927</v>
      </c>
      <c r="B9" s="3163"/>
      <c r="C9" s="3163"/>
      <c r="D9" s="3163" t="str">
        <f ca="1">结果表!D123</f>
        <v>壹仟伍佰陆拾柒万元整</v>
      </c>
      <c r="E9" s="3163"/>
      <c r="F9" s="3163"/>
      <c r="G9" s="3163"/>
      <c r="H9" s="3163"/>
      <c r="I9" s="3163"/>
    </row>
    <row r="10" spans="1:9" ht="15.75">
      <c r="A10" s="3164" t="str">
        <f>结果表!A124</f>
        <v/>
      </c>
      <c r="B10" s="3164"/>
      <c r="C10" s="3164"/>
      <c r="D10" s="3164" t="str">
        <f>结果表!D124</f>
        <v>——</v>
      </c>
      <c r="E10" s="3164"/>
      <c r="F10" s="3164"/>
      <c r="G10" s="3164"/>
      <c r="H10" s="3164"/>
      <c r="I10" s="3164"/>
    </row>
    <row r="11" spans="1:9" ht="15">
      <c r="A11" s="3163" t="s">
        <v>927</v>
      </c>
      <c r="B11" s="3163"/>
      <c r="C11" s="3163"/>
      <c r="D11" s="3163" t="e">
        <f>结果表!D125</f>
        <v>#VALUE!</v>
      </c>
      <c r="E11" s="3163"/>
      <c r="F11" s="3163"/>
      <c r="G11" s="3163"/>
      <c r="H11" s="3163"/>
      <c r="I11" s="3163"/>
    </row>
    <row r="12" spans="1:9" ht="15.75">
      <c r="A12" s="3164" t="str">
        <f>结果表!A126</f>
        <v>抵押净值</v>
      </c>
      <c r="B12" s="3164"/>
      <c r="C12" s="3164"/>
      <c r="D12" s="3164">
        <f ca="1">结果表!D126</f>
        <v>1409</v>
      </c>
      <c r="E12" s="3164"/>
      <c r="F12" s="3164"/>
      <c r="G12" s="3164"/>
      <c r="H12" s="3164"/>
      <c r="I12" s="3164"/>
    </row>
    <row r="13" spans="1:9" ht="15.75" thickBot="1">
      <c r="A13" s="3168" t="s">
        <v>927</v>
      </c>
      <c r="B13" s="3168"/>
      <c r="C13" s="3168"/>
      <c r="D13" s="3168" t="str">
        <f ca="1">结果表!D127</f>
        <v>壹仟肆佰零玖万元整</v>
      </c>
      <c r="E13" s="3168"/>
      <c r="F13" s="3168"/>
      <c r="G13" s="3168"/>
      <c r="H13" s="3168"/>
      <c r="I13" s="3168"/>
    </row>
    <row r="14" spans="1:9" ht="15" thickTop="1">
      <c r="A14" s="3169" t="s">
        <v>932</v>
      </c>
      <c r="B14" s="3169"/>
      <c r="C14" s="3169"/>
      <c r="D14" s="3169"/>
      <c r="E14" s="3169"/>
      <c r="F14" s="3169"/>
      <c r="G14" s="3169"/>
      <c r="H14" s="3169"/>
      <c r="I14" s="3169"/>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70" t="s">
        <v>949</v>
      </c>
      <c r="B1" s="3170"/>
      <c r="C1" s="3170"/>
      <c r="D1" s="3170"/>
    </row>
    <row r="2" spans="1:4" ht="18">
      <c r="A2" s="3171" t="s">
        <v>933</v>
      </c>
      <c r="B2" s="3171"/>
      <c r="C2" s="3171"/>
      <c r="D2" s="3171"/>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171" t="s">
        <v>939</v>
      </c>
      <c r="B6" s="3171"/>
      <c r="C6" s="3171"/>
      <c r="D6" s="3171"/>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72" t="s">
        <v>942</v>
      </c>
      <c r="B11" s="3173"/>
      <c r="C11" s="3173"/>
      <c r="D11" s="3173"/>
    </row>
    <row r="12" spans="1:4" ht="15.75">
      <c r="A12" s="31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4"/>
      <c r="C12" s="3174"/>
      <c r="D12" s="3174"/>
    </row>
    <row r="13" spans="1:4" ht="30" customHeight="1">
      <c r="A13" s="31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4"/>
      <c r="C13" s="3174"/>
      <c r="D13" s="3174"/>
    </row>
    <row r="14" spans="1:4" ht="15.75" customHeight="1">
      <c r="A14" s="3173" t="str">
        <f>IF(项目基本情况!B8="抵押","4.本次评估估价师所知悉的法定优先受偿款情况说明如下：","——")</f>
        <v>4.本次评估估价师所知悉的法定优先受偿款情况说明如下：</v>
      </c>
      <c r="B14" s="3174"/>
      <c r="C14" s="3174"/>
      <c r="D14" s="3174"/>
    </row>
    <row r="15" spans="1:4" ht="42" customHeight="1">
      <c r="A15" s="31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3"/>
      <c r="C15" s="3173"/>
      <c r="D15" s="3173"/>
    </row>
    <row r="16" spans="1:4" ht="30" customHeight="1">
      <c r="A16" s="3176" t="s">
        <v>943</v>
      </c>
      <c r="B16" s="3176"/>
      <c r="C16" s="3176"/>
      <c r="D16" s="3176"/>
    </row>
    <row r="17" spans="1:4" ht="144" customHeight="1">
      <c r="A17" s="3176" t="s">
        <v>944</v>
      </c>
      <c r="B17" s="3176"/>
      <c r="C17" s="3176"/>
      <c r="D17" s="3176"/>
    </row>
    <row r="18" spans="1:4" ht="15.75" customHeight="1">
      <c r="A18" s="3173" t="str">
        <f>IF(项目基本情况!B8="抵押",结果表!K120,"——")</f>
        <v>故，本次评估不存在估价师知悉的法定优先受偿款</v>
      </c>
      <c r="B18" s="3173"/>
      <c r="C18" s="3173"/>
      <c r="D18" s="3173"/>
    </row>
    <row r="19" spans="1:4" ht="46.5" customHeight="1">
      <c r="A19" s="31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3"/>
      <c r="C19" s="3173"/>
      <c r="D19" s="3173"/>
    </row>
    <row r="20" spans="1:4" ht="57.75" customHeight="1">
      <c r="A20" s="31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3"/>
      <c r="C20" s="3173"/>
      <c r="D20" s="3173"/>
    </row>
    <row r="21" spans="1:4" ht="57.75" customHeight="1">
      <c r="A21" s="31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7"/>
      <c r="C21" s="3177"/>
      <c r="D21" s="3177"/>
    </row>
    <row r="22" spans="1:4" ht="18.75" customHeight="1">
      <c r="A22" s="3178" t="s">
        <v>945</v>
      </c>
      <c r="B22" s="3178"/>
      <c r="C22" s="3178"/>
      <c r="D22" s="3178"/>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75">
        <v>42551</v>
      </c>
      <c r="D31" s="31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184" t="s">
        <v>956</v>
      </c>
      <c r="B15" s="3179" t="s">
        <v>109</v>
      </c>
      <c r="C15" s="3180"/>
    </row>
    <row r="16" spans="1:7" ht="13.5">
      <c r="A16" s="3185"/>
      <c r="B16" s="3179" t="s">
        <v>42</v>
      </c>
      <c r="C16" s="3180"/>
    </row>
    <row r="17" spans="1:3" ht="13.5">
      <c r="A17" s="3185"/>
      <c r="B17" s="3182" t="s">
        <v>957</v>
      </c>
      <c r="C17" s="1428" t="s">
        <v>956</v>
      </c>
    </row>
    <row r="18" spans="1:3" ht="13.5">
      <c r="A18" s="3185"/>
      <c r="B18" s="3182"/>
      <c r="C18" s="1428" t="s">
        <v>958</v>
      </c>
    </row>
    <row r="19" spans="1:3" ht="13.5">
      <c r="A19" s="3185"/>
      <c r="B19" s="3182"/>
      <c r="C19" s="1428" t="s">
        <v>959</v>
      </c>
    </row>
    <row r="20" spans="1:3" ht="13.5">
      <c r="A20" s="3186"/>
      <c r="B20" s="3181" t="s">
        <v>960</v>
      </c>
      <c r="C20" s="3180"/>
    </row>
    <row r="21" spans="1:3" ht="13.5">
      <c r="A21" s="1429" t="s">
        <v>961</v>
      </c>
      <c r="B21" s="1430"/>
      <c r="C21" s="1431"/>
    </row>
    <row r="22" spans="1:3" ht="13.5">
      <c r="A22" s="3183" t="s">
        <v>962</v>
      </c>
      <c r="B22" s="3181" t="s">
        <v>963</v>
      </c>
      <c r="C22" s="3180"/>
    </row>
    <row r="23" spans="1:3" ht="13.5">
      <c r="A23" s="3183"/>
      <c r="B23" s="3181" t="s">
        <v>964</v>
      </c>
      <c r="C23" s="3180"/>
    </row>
    <row r="24" spans="1:3" ht="13.5">
      <c r="A24" s="3183"/>
      <c r="B24" s="3181" t="s">
        <v>965</v>
      </c>
      <c r="C24" s="3180"/>
    </row>
    <row r="25" spans="1:3" ht="13.5">
      <c r="A25" s="3183"/>
      <c r="B25" s="3182" t="s">
        <v>966</v>
      </c>
      <c r="C25" s="1428" t="s">
        <v>967</v>
      </c>
    </row>
    <row r="26" spans="1:3" ht="13.5">
      <c r="A26" s="3183"/>
      <c r="B26" s="3182"/>
      <c r="C26" s="1428" t="s">
        <v>968</v>
      </c>
    </row>
    <row r="27" spans="1:3" ht="13.5">
      <c r="A27" s="3183"/>
      <c r="B27" s="3182"/>
      <c r="C27" s="1428" t="s">
        <v>969</v>
      </c>
    </row>
    <row r="28" spans="1:3" ht="13.5">
      <c r="A28" s="3183"/>
      <c r="B28" s="3182"/>
      <c r="C28" s="1428" t="s">
        <v>970</v>
      </c>
    </row>
    <row r="29" spans="1:3" ht="13.5">
      <c r="A29" s="3183"/>
      <c r="B29" s="3182"/>
      <c r="C29" s="1428" t="s">
        <v>971</v>
      </c>
    </row>
    <row r="30" spans="1:3" ht="13.5">
      <c r="A30" s="3183"/>
      <c r="B30" s="3182"/>
      <c r="C30" s="1428" t="s">
        <v>972</v>
      </c>
    </row>
    <row r="31" spans="1:3" ht="13.5">
      <c r="A31" s="3183"/>
      <c r="B31" s="3182"/>
      <c r="C31" s="1428" t="s">
        <v>973</v>
      </c>
    </row>
    <row r="32" spans="1:3" ht="13.5">
      <c r="A32" s="3183"/>
      <c r="B32" s="3182"/>
      <c r="C32" s="1428" t="s">
        <v>974</v>
      </c>
    </row>
    <row r="33" spans="1:3" ht="13.5">
      <c r="A33" s="3183"/>
      <c r="B33" s="3182"/>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45545</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f ca="1">IF(C9&lt;B2,"已过期",1120060040)</f>
        <v>1120060040</v>
      </c>
      <c r="C9" s="2166">
        <v>45592</v>
      </c>
      <c r="D9" s="2162" t="str">
        <f t="shared" ca="1" si="0"/>
        <v>陈颖（注册号：1120060040）</v>
      </c>
      <c r="E9" s="2163" t="s">
        <v>2153</v>
      </c>
      <c r="F9" s="1218">
        <f ca="1">IF(G9&lt;B2,"已过期",2004110096)</f>
        <v>2004110096</v>
      </c>
      <c r="G9" s="2164">
        <v>47118</v>
      </c>
      <c r="H9" s="2165" t="str">
        <f t="shared" ca="1" si="1"/>
        <v>陈颖（注册号：2004110096）</v>
      </c>
    </row>
    <row r="10" spans="1:8" ht="24" customHeight="1">
      <c r="A10" s="1218" t="s">
        <v>2154</v>
      </c>
      <c r="B10" s="1218">
        <f ca="1">IF(C10&lt;B2,"已过期",1120100036)</f>
        <v>1120100036</v>
      </c>
      <c r="C10" s="2166">
        <v>45752</v>
      </c>
      <c r="D10" s="2162" t="str">
        <f t="shared" ca="1" si="0"/>
        <v>崔锴（注册号：1120100036）</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2437</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187" t="s">
        <v>2160</v>
      </c>
      <c r="B17" s="3187"/>
      <c r="C17" s="3187"/>
      <c r="D17" s="3187"/>
      <c r="E17" s="3187"/>
      <c r="F17" s="3187"/>
      <c r="G17" s="3187"/>
      <c r="H17" s="3187"/>
    </row>
    <row r="18" spans="1:8" ht="24" customHeight="1">
      <c r="A18" s="3188" t="s">
        <v>2161</v>
      </c>
      <c r="B18" s="3188"/>
      <c r="C18" s="3188"/>
      <c r="D18" s="2159"/>
      <c r="E18" s="3189" t="s">
        <v>2162</v>
      </c>
      <c r="F18" s="3188"/>
      <c r="G18" s="3188"/>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基准地价修正</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2024-09-10T05:13:59Z</dcterms:modified>
</cp:coreProperties>
</file>