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69北京市顺义区顺泰路6号院10幢-2层B2002、-1层B1043、-1层B1047\"/>
    </mc:Choice>
  </mc:AlternateContent>
  <bookViews>
    <workbookView xWindow="60" yWindow="48" windowWidth="14076" windowHeight="12408" tabRatio="917"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21" i="1" l="1"/>
  <c r="B16" i="74" l="1"/>
  <c r="B15" i="74"/>
  <c r="B14" i="74"/>
  <c r="T5" i="31" l="1"/>
  <c r="B24" i="31"/>
  <c r="D5" i="9"/>
  <c r="Y6" i="1" l="1"/>
  <c r="C31" i="35"/>
  <c r="D42" i="43"/>
  <c r="N20" i="1"/>
  <c r="N25" i="1"/>
  <c r="G19" i="6"/>
  <c r="N23" i="1"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43"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W23" i="35"/>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AB23"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S23" i="35"/>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M9" i="15"/>
  <c r="E12" i="76"/>
  <c r="F20" i="31"/>
  <c r="M28" i="15"/>
  <c r="D6" i="73"/>
  <c r="E7" i="76"/>
  <c r="M8" i="15"/>
  <c r="B8" i="76"/>
  <c r="E11" i="76"/>
  <c r="C88" i="15"/>
  <c r="B7" i="76"/>
  <c r="B10" i="76"/>
  <c r="L56" i="15"/>
  <c r="B9" i="76"/>
  <c r="F5" i="73"/>
  <c r="M22" i="15"/>
  <c r="F30" i="15"/>
  <c r="F52" i="15"/>
  <c r="F32" i="15"/>
  <c r="F3" i="73"/>
  <c r="F22" i="15"/>
  <c r="D35" i="9"/>
  <c r="F26" i="15"/>
  <c r="F28" i="15"/>
  <c r="B12" i="76"/>
  <c r="F38" i="15"/>
  <c r="F7" i="73"/>
  <c r="F24" i="15"/>
  <c r="M6" i="67"/>
  <c r="F9" i="15"/>
  <c r="E10" i="76"/>
  <c r="M24" i="15"/>
  <c r="F6" i="15"/>
  <c r="M9" i="67"/>
  <c r="M26" i="67"/>
  <c r="M36" i="15"/>
  <c r="J15" i="67"/>
  <c r="E9" i="76"/>
  <c r="M24" i="67"/>
  <c r="M29" i="67"/>
  <c r="F6" i="73"/>
  <c r="AO13" i="1"/>
  <c r="M31" i="15"/>
  <c r="F6" i="67"/>
  <c r="F48" i="15"/>
  <c r="B13" i="76"/>
  <c r="M6" i="15"/>
  <c r="F9" i="67"/>
  <c r="F4" i="73"/>
  <c r="M26" i="15"/>
  <c r="D34" i="9"/>
  <c r="F40" i="67"/>
  <c r="F7" i="15"/>
  <c r="F38" i="67"/>
  <c r="M30" i="15"/>
  <c r="F8" i="15"/>
  <c r="F7" i="67"/>
  <c r="E2" i="69"/>
  <c r="B11" i="76"/>
  <c r="E8" i="76"/>
  <c r="M8" i="67"/>
  <c r="E13" i="76"/>
  <c r="F26" i="67"/>
  <c r="C18" i="9" l="1"/>
  <c r="AB34" i="35"/>
  <c r="U34" i="35"/>
  <c r="F22" i="35"/>
  <c r="AA22" i="35" s="1"/>
  <c r="AC27" i="35"/>
  <c r="AB27" i="35"/>
  <c r="S27" i="35"/>
  <c r="L87" i="35"/>
  <c r="F29" i="35"/>
  <c r="S29" i="35" s="1"/>
  <c r="AB22" i="35"/>
  <c r="W9" i="35"/>
  <c r="F6" i="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BJ5" i="3"/>
  <c r="E13" i="6" s="1"/>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M68" i="15"/>
  <c r="F78" i="15"/>
  <c r="F75" i="15"/>
  <c r="C27" i="67"/>
  <c r="C49" i="15"/>
  <c r="F77" i="15"/>
  <c r="B13" i="70"/>
  <c r="M7" i="67"/>
  <c r="J6" i="67" s="1"/>
  <c r="F50" i="67"/>
  <c r="F68" i="67"/>
  <c r="F80" i="15"/>
  <c r="D9" i="69"/>
  <c r="D21" i="12"/>
  <c r="D15" i="68"/>
  <c r="C71" i="81"/>
  <c r="F8" i="67"/>
  <c r="F30" i="81"/>
  <c r="D15" i="80"/>
  <c r="M28" i="67"/>
  <c r="M36" i="81"/>
  <c r="L56" i="81"/>
  <c r="F42" i="67"/>
  <c r="M23" i="67"/>
  <c r="C88" i="81"/>
  <c r="F36" i="67"/>
  <c r="F37" i="67"/>
  <c r="L57" i="81"/>
  <c r="F6" i="81"/>
  <c r="D4" i="73"/>
  <c r="M26" i="81"/>
  <c r="M28" i="81"/>
  <c r="F26" i="81"/>
  <c r="L47" i="67"/>
  <c r="L57" i="15"/>
  <c r="M22" i="81"/>
  <c r="M31" i="81"/>
  <c r="M9" i="81"/>
  <c r="F52" i="81"/>
  <c r="F8" i="81"/>
  <c r="F9" i="81"/>
  <c r="M8" i="81"/>
  <c r="C38" i="15"/>
  <c r="D3" i="73"/>
  <c r="D5" i="73"/>
  <c r="F16" i="67"/>
  <c r="F48" i="81"/>
  <c r="F43" i="67"/>
  <c r="M22" i="67"/>
  <c r="L48" i="67"/>
  <c r="F38" i="81"/>
  <c r="F7" i="81"/>
  <c r="M24" i="81"/>
  <c r="F28" i="81"/>
  <c r="F13" i="67"/>
  <c r="M30" i="81"/>
  <c r="C76" i="67"/>
  <c r="F22" i="81"/>
  <c r="D7" i="73"/>
  <c r="F32" i="81"/>
  <c r="F24" i="81"/>
  <c r="M6" i="81"/>
  <c r="S22" i="35" l="1"/>
  <c r="AA29" i="35"/>
  <c r="M87" i="35"/>
  <c r="H29" i="35"/>
  <c r="J29" i="35"/>
  <c r="H16" i="1"/>
  <c r="F30" i="6"/>
  <c r="E14" i="6"/>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AT6" i="3" s="1"/>
  <c r="D71" i="71"/>
  <c r="C70" i="71"/>
  <c r="D70" i="71" s="1"/>
  <c r="C36" i="71"/>
  <c r="D35" i="71"/>
  <c r="AZ58" i="3"/>
  <c r="AZ150" i="3"/>
  <c r="T32" i="71"/>
  <c r="D32" i="71"/>
  <c r="AZ63" i="3"/>
  <c r="C26" i="71"/>
  <c r="D26" i="71" s="1"/>
  <c r="D27" i="71"/>
  <c r="AZ49" i="3"/>
  <c r="AZ130" i="3"/>
  <c r="T52" i="71"/>
  <c r="D52" i="71"/>
  <c r="AZ20" i="3"/>
  <c r="AZ244" i="3"/>
  <c r="AZ239" i="3"/>
  <c r="AZ397" i="3"/>
  <c r="AZ5" i="3" s="1"/>
  <c r="AY6"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C38" i="81"/>
  <c r="C19" i="15"/>
  <c r="G1" i="73"/>
  <c r="C16" i="67"/>
  <c r="F27" i="80"/>
  <c r="W29" i="35" l="1"/>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42" i="43"/>
  <c r="L59" i="81" s="1"/>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9" i="15"/>
  <c r="C10" i="80"/>
  <c r="F41" i="67"/>
  <c r="M27" i="67"/>
  <c r="F29" i="15"/>
  <c r="M29" i="81"/>
  <c r="C38" i="43" l="1"/>
  <c r="C39" i="43"/>
  <c r="E42" i="43"/>
  <c r="C7" i="80"/>
  <c r="C8" i="80" s="1"/>
  <c r="C6" i="80"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G41" i="43" s="1"/>
  <c r="I41" i="43" s="1"/>
  <c r="T6" i="43"/>
  <c r="V6" i="43" s="1"/>
  <c r="T8" i="43"/>
  <c r="V8" i="43" s="1"/>
  <c r="T16" i="43"/>
  <c r="V16" i="43" s="1"/>
  <c r="H12" i="40"/>
  <c r="AB12" i="40" s="1"/>
  <c r="J12" i="40"/>
  <c r="F52" i="68"/>
  <c r="J12" i="39"/>
  <c r="W12" i="39" s="1"/>
  <c r="F12" i="40"/>
  <c r="C54" i="68"/>
  <c r="H12" i="39"/>
  <c r="U12" i="39" s="1"/>
  <c r="G54" i="34"/>
  <c r="H54" i="34" s="1"/>
  <c r="J6" i="81"/>
  <c r="J16" i="81" s="1"/>
  <c r="C57" i="15"/>
  <c r="C26" i="15"/>
  <c r="C28"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38" i="43"/>
  <c r="I38" i="43" s="1"/>
  <c r="E38" i="43"/>
  <c r="E40"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F29" i="81"/>
  <c r="C17" i="67"/>
  <c r="C39" i="81"/>
  <c r="C14" i="67"/>
  <c r="C36" i="81"/>
  <c r="D16" i="80"/>
  <c r="F81" i="81" l="1"/>
  <c r="G37" i="43"/>
  <c r="I37" i="43" s="1"/>
  <c r="E33" i="43"/>
  <c r="C30" i="43" s="1"/>
  <c r="B2" i="43" s="1"/>
  <c r="C16" i="80"/>
  <c r="C14" i="80" s="1"/>
  <c r="U12" i="40"/>
  <c r="AC12" i="39"/>
  <c r="AC12" i="40"/>
  <c r="W12" i="40"/>
  <c r="S12" i="40"/>
  <c r="AA12" i="40"/>
  <c r="D17" i="80"/>
  <c r="C17" i="80"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18" i="80" l="1"/>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35" i="67"/>
  <c r="F21" i="15"/>
  <c r="M21" i="67"/>
  <c r="M21" i="81"/>
  <c r="F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D19" i="9" s="1"/>
  <c r="D20" i="9" s="1"/>
  <c r="C38" i="35"/>
  <c r="N65" i="40"/>
  <c r="M67" i="40"/>
  <c r="E43" i="35"/>
  <c r="F43" i="35" s="1"/>
  <c r="E42" i="35"/>
  <c r="F42" i="35" s="1"/>
  <c r="I43" i="35"/>
  <c r="J43" i="35" s="1"/>
  <c r="L51" i="67"/>
  <c r="F2" i="33"/>
  <c r="C19" i="9"/>
  <c r="G19" i="9"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L60" i="81"/>
  <c r="F2" i="36"/>
  <c r="C20" i="9"/>
  <c r="F2" i="35"/>
  <c r="D2" i="35" l="1"/>
  <c r="B2" i="3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D102" i="9"/>
  <c r="I19" i="9"/>
  <c r="B7" i="70"/>
  <c r="D103" i="9"/>
  <c r="G20" i="9"/>
  <c r="D22" i="9"/>
  <c r="F67" i="39"/>
  <c r="B2" i="39" s="1"/>
  <c r="C32" i="15"/>
  <c r="C55" i="15"/>
  <c r="D6" i="71"/>
  <c r="C5" i="71"/>
  <c r="D5" i="71" s="1"/>
  <c r="M24" i="43" s="1"/>
  <c r="C44" i="40"/>
  <c r="C45" i="40"/>
  <c r="E49" i="40"/>
  <c r="F49" i="40" s="1"/>
  <c r="E48" i="40"/>
  <c r="F48" i="40" s="1"/>
  <c r="I49" i="40"/>
  <c r="J49" i="40" s="1"/>
  <c r="D14" i="74" l="1"/>
  <c r="D15" i="74" s="1"/>
  <c r="R24" i="31"/>
  <c r="C32" i="9"/>
  <c r="N119" i="9" s="1"/>
  <c r="I118" i="9" s="1"/>
  <c r="S24" i="31"/>
  <c r="G22"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R25" i="31" l="1"/>
  <c r="R26" i="31"/>
  <c r="N117" i="9"/>
  <c r="H118" i="9" s="1"/>
  <c r="C35" i="9"/>
  <c r="M117" i="9" s="1"/>
  <c r="S25" i="31"/>
  <c r="B3" i="40"/>
  <c r="B4" i="40"/>
  <c r="B5" i="40"/>
  <c r="C95" i="15"/>
  <c r="C94" i="15" s="1"/>
  <c r="E14" i="74"/>
  <c r="F14" i="74"/>
  <c r="AO9" i="1"/>
  <c r="AO8" i="1"/>
  <c r="AO6" i="1"/>
  <c r="D16" i="74" l="1"/>
  <c r="S26" i="31"/>
  <c r="S22" i="31" s="1"/>
  <c r="C34" i="9"/>
  <c r="L119" i="9" s="1"/>
  <c r="E118" i="9" s="1"/>
  <c r="M119" i="9"/>
  <c r="G118" i="9" s="1"/>
  <c r="F118" i="9" s="1"/>
  <c r="E15" i="74"/>
  <c r="F15" i="74"/>
  <c r="B9" i="70"/>
  <c r="B8" i="70"/>
  <c r="B6" i="70"/>
  <c r="B3" i="15"/>
  <c r="B6" i="74"/>
  <c r="C104" i="9"/>
  <c r="H4" i="52"/>
  <c r="I4" i="52"/>
  <c r="H119" i="9"/>
  <c r="H5" i="52" s="1"/>
  <c r="H101" i="9"/>
  <c r="D5" i="53" s="1"/>
  <c r="L117" i="9" l="1"/>
  <c r="E16" i="74"/>
  <c r="F16" i="74"/>
  <c r="B5" i="74"/>
  <c r="R22" i="31"/>
  <c r="B20" i="31"/>
  <c r="B21" i="31" s="1"/>
  <c r="D6" i="74"/>
  <c r="C6" i="74"/>
  <c r="B2" i="70"/>
  <c r="B3" i="70" s="1"/>
  <c r="D45" i="9"/>
  <c r="M48" i="9"/>
  <c r="B20" i="72"/>
  <c r="D6" i="53"/>
  <c r="B22" i="72" s="1"/>
  <c r="H102" i="9"/>
  <c r="D7" i="53" s="1"/>
  <c r="B21" i="72" s="1"/>
  <c r="H107" i="9"/>
  <c r="C105" i="9"/>
  <c r="D5" i="74" l="1"/>
  <c r="C5" i="74"/>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<sst xmlns="http://schemas.openxmlformats.org/spreadsheetml/2006/main" count="9148" uniqueCount="4122">
  <si>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</si>
  <si>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</si>
  <si>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</si>
  <si>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</si>
  <si>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</si>
  <si>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</si>
  <si>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</si>
  <si>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</si>
  <si>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</si>
  <si>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</si>
  <si>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</si>
  <si>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</si>
  <si>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</si>
  <si>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</si>
  <si>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</si>
  <si>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</si>
  <si>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</si>
  <si>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</si>
  <si>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</si>
  <si>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</si>
  <si>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</si>
  <si>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</si>
  <si>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</si>
  <si>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</si>
  <si>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</si>
  <si>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</si>
  <si>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</si>
  <si>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</si>
  <si>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</si>
  <si>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</si>
  <si>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</si>
  <si>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</si>
  <si>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</si>
  <si>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</si>
  <si>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</si>
  <si>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</si>
  <si>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</si>
  <si>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</si>
  <si>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</si>
  <si>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</si>
  <si>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</si>
  <si>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</si>
  <si>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</si>
  <si>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</si>
  <si>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</si>
  <si>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</si>
  <si>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</si>
  <si>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</si>
  <si>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</si>
  <si>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</si>
  <si>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</si>
  <si>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</si>
  <si>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</si>
  <si>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</si>
  <si>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</si>
  <si>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</si>
  <si>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</si>
  <si>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</si>
  <si>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</si>
  <si>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</si>
  <si>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</si>
  <si>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</si>
  <si>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</si>
  <si>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</si>
  <si>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</si>
  <si>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</si>
  <si>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</si>
  <si>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</si>
  <si>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</si>
  <si>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</si>
  <si>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</si>
  <si>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</si>
  <si>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</si>
  <si>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</si>
  <si>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</si>
  <si>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</si>
  <si>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</si>
  <si>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</si>
  <si>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</si>
  <si>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</si>
  <si>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</si>
  <si>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</si>
  <si>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</si>
  <si>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</si>
  <si>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</si>
  <si>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</si>
  <si>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</si>
  <si>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</si>
  <si>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</si>
  <si>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</si>
  <si>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</si>
  <si>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</si>
  <si>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</si>
  <si>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</si>
  <si>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</si>
  <si>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</si>
  <si>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</si>
  <si>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</si>
  <si>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</si>
  <si>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</si>
  <si>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</si>
  <si>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</si>
  <si>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</si>
  <si>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</si>
  <si>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</si>
  <si>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</si>
  <si>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</si>
  <si>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</si>
  <si>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</si>
  <si>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</si>
  <si>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</si>
  <si>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</si>
  <si>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</si>
  <si>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</si>
  <si>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</si>
  <si>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</si>
  <si>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</si>
  <si>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</si>
  <si>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</si>
  <si>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</si>
  <si>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</si>
  <si>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</si>
  <si>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</si>
  <si>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</si>
  <si>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</si>
  <si>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</si>
  <si>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</si>
  <si>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</si>
  <si>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</si>
  <si>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</si>
  <si>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</si>
  <si>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</si>
  <si>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</si>
  <si>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</si>
  <si>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</si>
  <si>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</si>
  <si>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</si>
  <si>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</si>
  <si>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</si>
  <si>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</si>
  <si>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</si>
  <si>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</si>
  <si>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</si>
  <si>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</si>
  <si>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</si>
  <si>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</si>
  <si>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</si>
  <si>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</si>
  <si>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</si>
  <si>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</si>
  <si>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</si>
  <si>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</si>
  <si>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</si>
  <si>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</si>
  <si>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</si>
  <si>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</si>
  <si>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</si>
  <si>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</si>
  <si>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</si>
  <si>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</si>
  <si>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</si>
  <si>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</si>
  <si>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</si>
  <si>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</si>
  <si>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</si>
  <si>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</si>
  <si>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</si>
  <si>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</si>
  <si>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</si>
  <si>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</si>
  <si>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</si>
  <si>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</si>
  <si>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</si>
  <si>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</si>
  <si>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</si>
  <si>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</si>
  <si>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</si>
  <si>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</si>
  <si>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</si>
  <si>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</si>
  <si>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</si>
  <si>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</si>
  <si>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</si>
  <si>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</si>
  <si>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</si>
  <si>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</si>
  <si>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</si>
  <si>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</si>
  <si>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</si>
  <si>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</si>
  <si>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</si>
  <si>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</si>
  <si>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</si>
  <si>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</si>
  <si>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</si>
  <si>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</si>
  <si>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</si>
  <si>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</si>
  <si>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</si>
  <si>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</si>
  <si>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</si>
  <si>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</si>
  <si>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</si>
  <si>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</si>
  <si>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</si>
  <si>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</si>
  <si>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</si>
  <si>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</si>
  <si>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</si>
  <si>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</si>
  <si>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</si>
  <si>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</si>
  <si>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</si>
  <si>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</si>
  <si>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</si>
  <si>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</si>
  <si>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</si>
  <si>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</si>
  <si>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</si>
  <si>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</si>
  <si>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</si>
  <si>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</si>
  <si>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</si>
  <si>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</si>
  <si>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</si>
  <si>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</si>
  <si>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</si>
  <si>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</si>
  <si>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</si>
  <si>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</si>
  <si>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</si>
  <si>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</si>
  <si>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</si>
  <si>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</si>
  <si>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</si>
  <si>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</si>
  <si>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</si>
  <si>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</si>
  <si>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</si>
  <si>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</si>
  <si>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</si>
  <si>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</si>
  <si>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</si>
  <si>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</si>
  <si>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</si>
  <si>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</si>
  <si>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</si>
  <si>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</si>
  <si>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</si>
  <si>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</si>
  <si>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</si>
  <si>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</si>
  <si>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</si>
  <si>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</si>
  <si>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</si>
  <si>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</si>
  <si>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</si>
  <si>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</si>
  <si>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</si>
  <si>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</si>
  <si>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</si>
  <si>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</si>
  <si>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</si>
  <si>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</si>
  <si>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</si>
  <si>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</si>
  <si>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</si>
  <si>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</si>
  <si>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</si>
  <si>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</si>
  <si>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</si>
  <si>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</si>
  <si>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</si>
  <si>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</si>
  <si>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</si>
  <si>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</si>
  <si>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</si>
  <si>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</si>
  <si>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</si>
  <si>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</si>
  <si>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</si>
  <si>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</si>
  <si>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</si>
  <si>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</si>
  <si>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</si>
  <si>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</si>
  <si>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</si>
  <si>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</si>
  <si>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</si>
  <si>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</si>
  <si>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</si>
  <si>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</si>
  <si>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</si>
  <si>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</si>
  <si>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</si>
  <si>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</si>
  <si>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</si>
  <si>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</si>
  <si>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</si>
  <si>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</si>
  <si>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</si>
  <si>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</si>
  <si>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</si>
  <si>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</si>
  <si>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</si>
  <si>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</si>
  <si>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</si>
  <si>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</si>
  <si>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</si>
  <si>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</si>
  <si>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</si>
  <si>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</si>
  <si>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</si>
  <si>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</si>
  <si>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</si>
  <si>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</si>
  <si>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</si>
  <si>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</si>
  <si>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</si>
  <si>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</si>
  <si>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</si>
  <si>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</si>
  <si>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</si>
  <si>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</si>
  <si>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</si>
  <si>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</si>
  <si>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</si>
  <si>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</si>
  <si>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</si>
  <si>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</si>
  <si>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</si>
  <si>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</si>
  <si>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</si>
  <si>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</si>
  <si>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</si>
  <si>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</si>
  <si>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</si>
  <si>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</si>
  <si>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</si>
  <si>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</si>
  <si>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</si>
  <si>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</si>
  <si>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</si>
  <si>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</si>
  <si>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</si>
  <si>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</si>
  <si>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</si>
  <si>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</si>
  <si>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</si>
  <si>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</si>
  <si>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</si>
  <si>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</si>
  <si>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</si>
  <si>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</si>
  <si>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</si>
  <si>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</si>
  <si>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</si>
  <si>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</si>
  <si>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</si>
  <si>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</si>
  <si>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</si>
  <si>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</si>
  <si>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</si>
  <si>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</si>
  <si>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</si>
  <si>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</si>
  <si>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</si>
  <si>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</si>
  <si>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</si>
  <si>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</si>
  <si>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</si>
  <si>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</si>
  <si>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</si>
  <si>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</si>
  <si>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</si>
  <si>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</si>
  <si>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</si>
  <si>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</si>
  <si>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</si>
  <si>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</si>
  <si>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</si>
  <si>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</si>
  <si>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</si>
  <si>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</si>
  <si>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</si>
  <si>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</si>
  <si>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</si>
  <si>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</si>
  <si>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</si>
  <si>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</si>
  <si>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</si>
  <si>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</si>
  <si>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</si>
  <si>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</si>
  <si>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</si>
  <si>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</si>
  <si>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</si>
  <si>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</si>
  <si>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</si>
  <si>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</si>
  <si>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</si>
  <si>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</si>
  <si>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</si>
  <si>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</si>
  <si>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</si>
  <si>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</si>
  <si>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</si>
  <si>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</si>
  <si>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</si>
  <si>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</si>
  <si>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</si>
  <si>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</si>
  <si>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</si>
  <si>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</si>
  <si>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</si>
  <si>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</si>
  <si>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</si>
  <si>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</si>
  <si>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</si>
  <si>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</si>
  <si>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</si>
  <si>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</si>
  <si>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</si>
  <si>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</si>
  <si>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</si>
  <si>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</si>
  <si>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</si>
  <si>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</si>
  <si>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</si>
  <si>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</si>
  <si>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</si>
  <si>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</si>
  <si>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</si>
  <si>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</si>
  <si>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</si>
  <si>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</si>
  <si>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</si>
  <si>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</si>
  <si>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</si>
  <si>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</si>
  <si>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</si>
  <si>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</si>
  <si>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</si>
  <si>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</si>
  <si>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</si>
  <si>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</si>
  <si>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</si>
  <si>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</si>
  <si>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</si>
  <si>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</si>
  <si>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</si>
  <si>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</si>
  <si>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</si>
  <si>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</si>
  <si>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</si>
  <si>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</si>
  <si>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</si>
  <si>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</si>
  <si>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</si>
  <si>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</si>
  <si>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</si>
  <si>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</si>
  <si>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</si>
  <si>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</si>
  <si>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</si>
  <si>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</si>
  <si>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</si>
  <si>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</si>
  <si>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</si>
  <si>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</si>
  <si>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</si>
  <si>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</si>
  <si>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</si>
  <si>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</si>
  <si>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</si>
  <si>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</si>
  <si>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</si>
  <si>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</si>
  <si>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</si>
  <si>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</si>
  <si>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</si>
  <si>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</si>
  <si>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</si>
  <si>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</si>
  <si>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</si>
  <si>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</si>
  <si>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</si>
  <si>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</si>
  <si>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</si>
  <si>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</si>
  <si>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</si>
  <si>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</si>
  <si>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</si>
  <si>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</si>
  <si>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</si>
  <si>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</si>
  <si>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</si>
  <si>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</si>
  <si>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</si>
  <si>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</si>
  <si>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</si>
  <si>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</si>
  <si>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</si>
  <si>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</si>
  <si>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</si>
  <si>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</si>
  <si>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</si>
  <si>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</si>
  <si>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</si>
  <si>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</si>
  <si>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</si>
  <si>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</si>
  <si>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</si>
  <si>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</si>
  <si>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</si>
  <si>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</si>
  <si>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</si>
  <si>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</si>
  <si>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</si>
  <si>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</si>
  <si>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</si>
  <si>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</si>
  <si>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</si>
  <si>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</si>
  <si>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</si>
  <si>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</si>
  <si>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</si>
  <si>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</si>
  <si>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</si>
  <si>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</si>
  <si>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</si>
  <si>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</si>
  <si>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</si>
  <si>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</si>
  <si>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</si>
  <si>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</si>
  <si>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</si>
  <si>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</si>
  <si>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</si>
  <si>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</si>
  <si>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</si>
  <si>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</si>
  <si>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</si>
  <si>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</si>
  <si>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</si>
  <si>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</si>
  <si>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</si>
  <si>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</si>
  <si>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</si>
  <si>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</si>
  <si>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</si>
  <si>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</si>
  <si>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</si>
  <si>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</si>
  <si>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</si>
  <si>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</si>
  <si>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</si>
  <si>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</si>
  <si>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</si>
  <si>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</si>
  <si>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</si>
  <si>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</si>
  <si>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</si>
  <si>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</si>
  <si>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</si>
  <si>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</si>
  <si>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</si>
  <si>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</si>
  <si>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</si>
  <si>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</si>
  <si>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</si>
  <si>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</si>
  <si>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</si>
  <si>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</si>
  <si>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</si>
  <si>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</si>
  <si>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</si>
  <si>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</si>
  <si>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</si>
  <si>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</si>
  <si>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</si>
  <si>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</si>
  <si>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</si>
  <si>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</si>
  <si>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</si>
  <si>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</si>
  <si>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</si>
  <si>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</si>
  <si>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</si>
  <si>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</si>
  <si>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</si>
  <si>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</si>
  <si>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</si>
  <si>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</si>
  <si>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</si>
  <si>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</si>
  <si>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</si>
  <si>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</si>
  <si>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</si>
  <si>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</si>
  <si>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</si>
  <si>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</si>
  <si>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</si>
  <si>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</si>
  <si>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</si>
  <si>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</si>
  <si>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</si>
  <si>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</si>
  <si>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</si>
  <si>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</si>
  <si>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</si>
  <si>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</si>
  <si>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</si>
  <si>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</si>
  <si>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</si>
  <si>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</si>
  <si>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</si>
  <si>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</si>
  <si>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</si>
  <si>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</si>
  <si>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</si>
  <si>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</si>
  <si>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</si>
  <si>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</si>
  <si>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</si>
  <si>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</si>
  <si>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</si>
  <si>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</si>
  <si>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</si>
  <si>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</si>
  <si>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</si>
  <si>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</si>
  <si>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</si>
  <si>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</si>
  <si>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</si>
  <si>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</si>
  <si>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</si>
  <si>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</si>
  <si>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</si>
  <si>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</si>
  <si>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</si>
  <si>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</si>
  <si>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</si>
  <si>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</si>
  <si>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</si>
  <si>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</si>
  <si>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</si>
  <si>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</si>
  <si>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</si>
  <si>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</si>
  <si>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</si>
  <si>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</si>
  <si>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</si>
  <si>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</si>
  <si>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</si>
  <si>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</si>
  <si>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</si>
  <si>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</si>
  <si>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</si>
  <si>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</si>
  <si>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</si>
  <si>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</si>
  <si>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</si>
  <si>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</si>
  <si>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</si>
  <si>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</si>
  <si>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</si>
  <si>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</si>
  <si>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</si>
  <si>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</si>
  <si>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</si>
  <si>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</si>
  <si>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</si>
  <si>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</si>
  <si>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</si>
  <si>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</si>
  <si>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</si>
  <si>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</si>
  <si>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</si>
  <si>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</si>
  <si>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</si>
  <si>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</si>
  <si>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</si>
  <si>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</si>
  <si>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</si>
  <si>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</si>
  <si>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</si>
  <si>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</si>
  <si>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</si>
  <si>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</si>
  <si>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</si>
  <si>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</si>
  <si>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</si>
  <si>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</si>
  <si>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</si>
  <si>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</si>
  <si>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</si>
  <si>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</si>
  <si>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</si>
  <si>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</si>
  <si>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</si>
  <si>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</si>
  <si>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</si>
  <si>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</si>
  <si>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</si>
  <si>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</si>
  <si>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</si>
  <si>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</si>
  <si>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</si>
  <si>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</si>
  <si>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</si>
  <si>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</si>
  <si>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</si>
  <si>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</si>
  <si>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</si>
  <si>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</si>
  <si>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</si>
  <si>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</si>
  <si>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</si>
  <si>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</si>
  <si>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</si>
  <si>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</si>
  <si>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</si>
  <si>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</si>
  <si>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</si>
  <si>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</si>
  <si>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</si>
  <si>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</si>
  <si>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</si>
  <si>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</si>
  <si>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</si>
  <si>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</si>
  <si>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</si>
  <si>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</si>
  <si>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</si>
  <si>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</si>
  <si>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</si>
  <si>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</si>
  <si>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</si>
  <si>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</si>
  <si>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</si>
  <si>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</si>
  <si>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</si>
  <si>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</si>
  <si>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</si>
  <si>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</si>
  <si>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</si>
  <si>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</si>
  <si>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</si>
  <si>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</si>
  <si>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</si>
  <si>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</si>
  <si>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</si>
  <si>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</si>
  <si>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</si>
  <si>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</si>
  <si>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</si>
  <si>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</si>
  <si>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</si>
  <si>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</si>
  <si>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</si>
  <si>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</si>
  <si>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</si>
  <si>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</si>
  <si>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</si>
  <si>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</si>
  <si>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</si>
  <si>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</si>
  <si>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</si>
  <si>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</si>
  <si>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</si>
  <si>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</si>
  <si>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</si>
  <si>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</si>
  <si>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</si>
  <si>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</si>
  <si>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</si>
  <si>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</si>
  <si>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</si>
  <si>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</si>
  <si>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</si>
  <si>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</si>
  <si>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</si>
  <si>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</si>
  <si>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</si>
  <si>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</si>
  <si>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</si>
  <si>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</si>
  <si>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</si>
  <si>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</si>
  <si>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</si>
  <si>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</si>
  <si>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</si>
  <si>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</si>
  <si>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</si>
  <si>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</si>
  <si>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</si>
  <si>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</si>
  <si>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</si>
  <si>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</si>
  <si>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</si>
  <si>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</si>
  <si>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</si>
  <si>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</si>
  <si>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</si>
  <si>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</si>
  <si>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</si>
  <si>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</si>
  <si>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</si>
  <si>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</si>
  <si>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</si>
  <si>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</si>
  <si>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</si>
  <si>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</si>
  <si>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</si>
  <si>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</si>
  <si>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</si>
  <si>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</si>
  <si>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</si>
  <si>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</si>
  <si>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</si>
  <si>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</si>
  <si>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</si>
  <si>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</si>
  <si>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</si>
  <si>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</si>
  <si>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</si>
  <si>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</si>
  <si>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</si>
  <si>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</si>
  <si>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</si>
  <si>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</si>
  <si>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</si>
  <si>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</si>
  <si>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</si>
  <si>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</si>
  <si>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</si>
  <si>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</si>
  <si>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</si>
  <si>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</si>
  <si>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</si>
  <si>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</si>
  <si>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</si>
  <si>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</si>
  <si>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</si>
  <si>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</si>
  <si>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</si>
  <si>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</si>
  <si>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</si>
  <si>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</si>
  <si>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</si>
  <si>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</si>
  <si>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</si>
  <si>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</si>
  <si>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</si>
  <si>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</si>
  <si>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</si>
  <si>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</si>
  <si>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</si>
  <si>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</si>
  <si>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</si>
  <si>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</si>
  <si>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</si>
  <si>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</si>
  <si>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</si>
  <si>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</si>
  <si>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</si>
  <si>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</si>
  <si>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</si>
  <si>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</si>
  <si>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</si>
  <si>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</si>
  <si>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</si>
  <si>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</si>
  <si>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</si>
  <si>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</si>
  <si>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</si>
  <si>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</si>
  <si>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</si>
  <si>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</si>
  <si>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</si>
  <si>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</si>
  <si>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</si>
  <si>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</si>
  <si>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</si>
  <si>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</si>
  <si>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</si>
  <si>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</si>
  <si>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</si>
  <si>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</si>
  <si>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</si>
  <si>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</si>
  <si>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</si>
  <si>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</si>
  <si>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</si>
  <si>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</si>
  <si>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</si>
  <si>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</si>
  <si>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</si>
  <si>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</si>
  <si>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</si>
  <si>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</si>
  <si>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</si>
  <si>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</si>
  <si>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</si>
  <si>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</si>
  <si>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</si>
  <si>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</si>
  <si>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</si>
  <si>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</si>
  <si>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</si>
  <si>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</si>
  <si>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</si>
  <si>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</si>
  <si>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</si>
  <si>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</si>
  <si>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</si>
  <si>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</si>
  <si>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</si>
  <si>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</si>
  <si>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</si>
  <si>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</si>
  <si>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</si>
  <si>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</si>
  <si>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</si>
  <si>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</si>
  <si>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</si>
  <si>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</si>
  <si>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</si>
  <si>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</si>
  <si>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</si>
  <si>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</si>
  <si>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</si>
  <si>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</si>
  <si>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</si>
  <si>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</si>
  <si>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</si>
  <si>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</si>
  <si>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</si>
  <si>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</si>
  <si>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</si>
  <si>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</si>
  <si>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</si>
  <si>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</si>
  <si>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</si>
  <si>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</si>
  <si>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</si>
  <si>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</si>
  <si>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</si>
  <si>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</si>
  <si>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</si>
  <si>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</si>
  <si>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</si>
  <si>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</si>
  <si>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</si>
  <si>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</si>
  <si>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</si>
  <si>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</si>
  <si>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</si>
  <si>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</si>
  <si>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</si>
  <si>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</si>
  <si>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</si>
  <si>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</si>
  <si>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</si>
  <si>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</si>
  <si>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</si>
  <si>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</si>
  <si>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</si>
  <si>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</si>
  <si>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</si>
  <si>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</si>
  <si>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</si>
  <si>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</si>
  <si>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</si>
  <si>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</si>
  <si>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</si>
  <si>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</si>
  <si>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</si>
  <si>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</si>
  <si>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</si>
  <si>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</si>
  <si>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</si>
  <si>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</si>
  <si>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</si>
  <si>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</si>
  <si>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</si>
  <si>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</si>
  <si>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</si>
  <si>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</si>
  <si>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</si>
  <si>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</si>
  <si>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</si>
  <si>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</si>
  <si>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</si>
  <si>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</si>
  <si>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</si>
  <si>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</si>
  <si>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</si>
  <si>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</si>
  <si>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</si>
  <si>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</si>
  <si>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</si>
  <si>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</si>
  <si>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</si>
  <si>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</si>
  <si>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</si>
  <si>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</si>
  <si>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</si>
  <si>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</si>
  <si>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</si>
  <si>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</si>
  <si>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</si>
  <si>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</si>
  <si>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</si>
  <si>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</si>
  <si>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</si>
  <si>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</si>
  <si>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</si>
  <si>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</si>
  <si>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</si>
  <si>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</si>
  <si>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</si>
  <si>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</si>
  <si>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</si>
  <si>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</si>
  <si>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</si>
  <si>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</si>
  <si>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</si>
  <si>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</si>
  <si>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</si>
  <si>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</si>
  <si>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</si>
  <si>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</si>
  <si>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</si>
  <si>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</si>
  <si>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</si>
  <si>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</si>
  <si>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</si>
  <si>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</si>
  <si>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</si>
  <si>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</si>
  <si>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</si>
  <si>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</si>
  <si>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</si>
  <si>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</si>
  <si>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</si>
  <si>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</si>
  <si>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</si>
  <si>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</si>
  <si>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</si>
  <si>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</si>
  <si>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</si>
  <si>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</si>
  <si>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</si>
  <si>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</si>
  <si>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</si>
  <si>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</si>
  <si>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</si>
  <si>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</si>
  <si>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</si>
  <si>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</si>
  <si>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</si>
  <si>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</si>
  <si>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</si>
  <si>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</si>
  <si>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</si>
  <si>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</si>
  <si>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</si>
  <si>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</si>
  <si>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</si>
  <si>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</si>
  <si>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</si>
  <si>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</si>
  <si>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</si>
  <si>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</si>
  <si>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</si>
  <si>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</si>
  <si>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</si>
  <si>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</si>
  <si>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</si>
  <si>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</si>
  <si>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</si>
  <si>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</si>
  <si>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</si>
  <si>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</si>
  <si>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</si>
  <si>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</si>
  <si>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</si>
  <si>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</si>
  <si>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</si>
  <si>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</si>
  <si>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</si>
  <si>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</si>
  <si>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</si>
  <si>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</si>
  <si>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</si>
  <si>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</si>
  <si>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</si>
  <si>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</si>
  <si>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</si>
  <si>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</si>
  <si>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</si>
  <si>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</si>
  <si>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</si>
  <si>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</si>
  <si>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</si>
  <si>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</si>
  <si>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</si>
  <si>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</si>
  <si>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</si>
  <si>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</si>
  <si>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</si>
  <si>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</si>
  <si>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</si>
  <si>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</si>
  <si>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</si>
  <si>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</si>
  <si>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</si>
  <si>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</si>
  <si>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</si>
  <si>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</si>
  <si>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</si>
  <si>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</si>
  <si>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</si>
  <si>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</si>
  <si>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</si>
  <si>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</si>
  <si>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</si>
  <si>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</si>
  <si>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</si>
  <si>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</si>
  <si>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</si>
  <si>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</si>
  <si>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</si>
  <si>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</si>
  <si>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</si>
  <si>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</si>
  <si>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</si>
  <si>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</si>
  <si>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</si>
  <si>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</si>
  <si>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</si>
  <si>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</si>
  <si>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</si>
  <si>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</si>
  <si>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</si>
  <si>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</si>
  <si>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</si>
  <si>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</si>
  <si>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</si>
  <si>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</si>
  <si>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</si>
  <si>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</si>
  <si>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</si>
  <si>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</si>
  <si>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</si>
  <si>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</si>
  <si>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</si>
  <si>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</si>
  <si>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</si>
  <si>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</si>
  <si>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</si>
  <si>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</si>
  <si>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</si>
  <si>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</si>
  <si>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</si>
  <si>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</si>
  <si>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</si>
  <si>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</si>
  <si>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</si>
  <si>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</si>
  <si>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</si>
  <si>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</si>
  <si>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</si>
  <si>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</si>
  <si>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</si>
  <si>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</si>
  <si>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</si>
  <si>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</si>
  <si>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</si>
  <si>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</si>
  <si>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</si>
  <si>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</si>
  <si>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</si>
  <si>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</si>
  <si>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</si>
  <si>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</si>
  <si>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</si>
  <si>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</si>
  <si>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</si>
  <si>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</si>
  <si>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</si>
  <si>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</si>
  <si>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</si>
  <si>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</si>
  <si>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</si>
  <si>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</si>
  <si>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</si>
  <si>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</si>
  <si>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</si>
  <si>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</si>
  <si>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</si>
  <si>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</si>
  <si>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</si>
  <si>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</si>
  <si>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</si>
  <si>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</si>
  <si>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</si>
  <si>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</si>
  <si>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</si>
  <si>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</si>
  <si>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</si>
  <si>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</si>
  <si>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</si>
  <si>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</si>
  <si>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</si>
  <si>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</si>
  <si>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</si>
  <si>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</si>
  <si>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</si>
  <si>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</si>
  <si>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</si>
  <si>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</si>
  <si>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</si>
  <si>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</si>
  <si>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</si>
  <si>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</si>
  <si>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</si>
  <si>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</si>
  <si>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</si>
  <si>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</si>
  <si>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</si>
  <si>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</si>
  <si>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</si>
  <si>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</si>
  <si>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</si>
  <si>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</si>
  <si>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</si>
  <si>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</si>
  <si>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</si>
  <si>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</si>
  <si>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</si>
  <si>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</si>
  <si>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</si>
  <si>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</si>
  <si>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</si>
  <si>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</si>
  <si>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</si>
  <si>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</si>
  <si>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</si>
  <si>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</si>
  <si>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</si>
  <si>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</si>
  <si>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</si>
  <si>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</si>
  <si>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</si>
  <si>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</si>
  <si>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</si>
  <si>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</si>
  <si>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</si>
  <si>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</si>
  <si>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</si>
  <si>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</si>
  <si>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</si>
  <si>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</si>
  <si>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</si>
  <si>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</si>
  <si>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</si>
  <si>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</si>
  <si>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</si>
  <si>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</si>
  <si>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</si>
  <si>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</si>
  <si>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</si>
  <si>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</si>
  <si>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</si>
  <si>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</si>
  <si>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</si>
  <si>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</si>
  <si>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</si>
  <si>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</si>
  <si>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</si>
  <si>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</si>
  <si>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</si>
  <si>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</si>
  <si>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</si>
  <si>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</si>
  <si>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</si>
  <si>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</si>
  <si>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</si>
  <si>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</si>
  <si>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</si>
  <si>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</si>
  <si>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</si>
  <si>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</si>
  <si>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</si>
  <si>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</si>
  <si>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</si>
  <si>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</si>
  <si>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</si>
  <si>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</si>
  <si>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</si>
  <si>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</si>
  <si>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</si>
  <si>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</si>
  <si>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</si>
  <si>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</si>
  <si>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</si>
  <si>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</si>
  <si>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</si>
  <si>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</si>
  <si>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</si>
  <si>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</si>
  <si>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</si>
  <si>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</si>
  <si>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</si>
  <si>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</si>
  <si>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</si>
  <si>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</si>
  <si>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</si>
  <si>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</si>
  <si>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</si>
  <si>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</si>
  <si>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</si>
  <si>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</si>
  <si>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</si>
  <si>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</si>
  <si>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</si>
  <si>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</si>
  <si>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</si>
  <si>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</si>
  <si>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</si>
  <si>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</si>
  <si>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</si>
  <si>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</si>
  <si>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</si>
  <si>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</si>
  <si>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</si>
  <si>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</si>
  <si>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</si>
  <si>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</si>
  <si>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</si>
  <si>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</si>
  <si>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</si>
  <si>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</si>
  <si>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</si>
  <si>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</si>
  <si>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</si>
  <si>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</si>
  <si>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</si>
  <si>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</si>
  <si>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</si>
  <si>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</si>
  <si>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</si>
  <si>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</si>
  <si>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</si>
  <si>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</si>
  <si>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</si>
  <si>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</si>
  <si>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</si>
  <si>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</si>
  <si>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</si>
  <si>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</si>
  <si>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</si>
  <si>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</si>
  <si>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</si>
  <si>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</si>
  <si>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</si>
  <si>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</si>
  <si>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</si>
  <si>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</si>
  <si>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</si>
  <si>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</si>
  <si>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</si>
  <si>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</si>
  <si>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</si>
  <si>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</si>
  <si>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</si>
  <si>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</si>
  <si>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</si>
  <si>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</si>
  <si>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</si>
  <si>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</si>
  <si>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</si>
  <si>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</si>
  <si>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</si>
  <si>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</si>
  <si>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</si>
  <si>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</si>
  <si>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</si>
  <si>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</si>
  <si>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</si>
  <si>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</si>
  <si>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</si>
  <si>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</si>
  <si>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</si>
  <si>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</si>
  <si>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</si>
  <si>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</si>
  <si>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</si>
  <si>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</si>
  <si>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</si>
  <si>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</si>
  <si>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</si>
  <si>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</si>
  <si>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</si>
  <si>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</si>
  <si>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</si>
  <si>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</si>
  <si>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</si>
  <si>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</si>
  <si>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</si>
  <si>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</si>
  <si>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</si>
  <si>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</si>
  <si>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</si>
  <si>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</si>
  <si>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</si>
  <si>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</si>
  <si>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</si>
  <si>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</si>
  <si>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</si>
  <si>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</si>
  <si>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</si>
  <si>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</si>
  <si>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</si>
  <si>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</si>
  <si>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</si>
  <si>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</si>
  <si>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</si>
  <si>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</si>
  <si>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</si>
  <si>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</si>
  <si>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</si>
  <si>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</si>
  <si>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</si>
  <si>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</si>
  <si>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</si>
  <si>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</si>
  <si>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</si>
  <si>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</si>
  <si>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</si>
  <si>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</si>
  <si>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</si>
  <si>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</si>
  <si>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</si>
  <si>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</si>
  <si>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</si>
  <si>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</si>
  <si>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</si>
  <si>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</si>
  <si>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</si>
  <si>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</si>
  <si>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</si>
  <si>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</si>
  <si>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</si>
  <si>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</si>
  <si>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</si>
  <si>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</si>
  <si>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</si>
  <si>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</si>
  <si>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</si>
  <si>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</si>
  <si>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</si>
  <si>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</si>
  <si>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</si>
  <si>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</si>
  <si>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</si>
  <si>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</si>
  <si>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</si>
  <si>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</si>
  <si>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</si>
  <si>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</si>
  <si>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</si>
  <si>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</si>
  <si>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</si>
  <si>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</si>
  <si>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</si>
  <si>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</si>
  <si>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</si>
  <si>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</si>
  <si>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</si>
  <si>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</si>
  <si>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</si>
  <si>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</si>
  <si>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</si>
  <si>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</si>
  <si>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</si>
  <si>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</si>
  <si>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</si>
  <si>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</si>
  <si>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</si>
  <si>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</si>
  <si>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</si>
  <si>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</si>
  <si>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</si>
  <si>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</si>
  <si>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</si>
  <si>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</si>
  <si>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</si>
  <si>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</si>
  <si>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</si>
  <si>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</si>
  <si>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</si>
  <si>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</si>
  <si>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</si>
  <si>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</si>
  <si>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</si>
  <si>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</si>
  <si>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</si>
  <si>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</si>
  <si>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</si>
  <si>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</si>
  <si>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</si>
  <si>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</si>
  <si>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</si>
  <si>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</si>
  <si>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</si>
  <si>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</si>
  <si>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</si>
  <si>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</si>
  <si>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</si>
  <si>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</si>
  <si>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</si>
  <si>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</si>
  <si>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</si>
  <si>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</si>
  <si>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</si>
  <si>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</si>
  <si>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</si>
  <si>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</si>
  <si>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</si>
  <si>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</si>
  <si>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</si>
  <si>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</si>
  <si>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</si>
  <si>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</si>
  <si>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</si>
  <si>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</si>
  <si>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</si>
  <si>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</si>
  <si>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</si>
  <si>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</si>
  <si>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</si>
  <si>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</si>
  <si>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</si>
  <si>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</si>
  <si>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</si>
  <si>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</si>
  <si>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</si>
  <si>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</si>
  <si>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</si>
  <si>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</si>
  <si>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</si>
  <si>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</si>
  <si>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</si>
  <si>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</si>
  <si>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</si>
  <si>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</si>
  <si>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</si>
  <si>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</si>
  <si>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</si>
  <si>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</si>
  <si>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</si>
  <si>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</si>
  <si>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</si>
  <si>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</si>
  <si>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</si>
  <si>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</si>
  <si>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</si>
  <si>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</si>
  <si>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</si>
  <si>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</si>
  <si>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</si>
  <si>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</si>
  <si>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</si>
  <si>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</si>
  <si>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</si>
  <si>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</si>
  <si>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</si>
  <si>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</si>
  <si>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</si>
  <si>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</si>
  <si>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</si>
  <si>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</si>
  <si>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</si>
  <si>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</si>
  <si>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</si>
  <si>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</si>
  <si>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</si>
  <si>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</si>
  <si>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</si>
  <si>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</si>
  <si>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</si>
  <si>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</si>
  <si>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</si>
  <si>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</si>
  <si>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</si>
  <si>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</si>
  <si>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</si>
  <si>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</si>
  <si>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</si>
  <si>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</si>
  <si>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</si>
  <si>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</si>
  <si>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</si>
  <si>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</si>
  <si>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</si>
  <si>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</si>
  <si>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</si>
  <si>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</si>
  <si>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</si>
  <si>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</si>
  <si>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</si>
  <si>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</si>
  <si>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</si>
  <si>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</si>
  <si>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</si>
  <si>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</si>
  <si>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</si>
  <si>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</si>
  <si>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</si>
  <si>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</si>
  <si>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</si>
  <si>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</si>
  <si>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</si>
  <si>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</si>
  <si>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</si>
  <si>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</si>
  <si>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</si>
  <si>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</si>
  <si>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</si>
  <si>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</si>
  <si>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</si>
  <si>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</si>
  <si>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</si>
  <si>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</si>
  <si>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</si>
  <si>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</si>
  <si>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</si>
  <si>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</si>
  <si>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</si>
  <si>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</si>
  <si>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</si>
  <si>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</si>
  <si>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</si>
  <si>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</si>
  <si>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</si>
  <si>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</si>
  <si>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</si>
  <si>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</si>
  <si>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</si>
  <si>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</si>
  <si>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</si>
  <si>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</si>
  <si>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</si>
  <si>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</si>
  <si>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</si>
  <si>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</si>
  <si>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</si>
  <si>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</si>
  <si>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</si>
  <si>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</si>
  <si>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</si>
  <si>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</si>
  <si>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</si>
  <si>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</si>
  <si>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</si>
  <si>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</si>
  <si>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</si>
  <si>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</si>
  <si>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</si>
  <si>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</si>
  <si>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</si>
  <si>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</si>
  <si>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</si>
  <si>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</si>
  <si>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</si>
  <si>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</si>
  <si>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</si>
  <si>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</si>
  <si>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</si>
  <si>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</si>
  <si>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</si>
  <si>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</si>
  <si>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</si>
  <si>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</si>
  <si>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</si>
  <si>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</si>
  <si>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</si>
  <si>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</si>
  <si>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</si>
  <si>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</si>
  <si>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</si>
  <si>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</si>
  <si>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</si>
  <si>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</si>
  <si>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</si>
  <si>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</si>
  <si>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</si>
  <si>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</si>
  <si>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</si>
  <si>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</si>
  <si>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</si>
  <si>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</si>
  <si>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</si>
  <si>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</si>
  <si>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</si>
  <si>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</si>
  <si>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</si>
  <si>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</si>
  <si>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</si>
  <si>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</si>
  <si>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</si>
  <si>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</si>
  <si>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</si>
  <si>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</si>
  <si>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</si>
  <si>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</si>
  <si>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</si>
  <si>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</si>
  <si>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</si>
  <si>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</si>
  <si>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</si>
  <si>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</si>
  <si>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</si>
  <si>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</si>
  <si>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</si>
  <si>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</si>
  <si>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</si>
  <si>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</si>
  <si>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</si>
  <si>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</si>
  <si>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</si>
  <si>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</si>
  <si>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</si>
  <si>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</si>
  <si>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</si>
  <si>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</si>
  <si>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</si>
  <si>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</si>
  <si>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</si>
  <si>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</si>
  <si>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</si>
  <si>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</si>
  <si>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</si>
  <si>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</si>
  <si>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</si>
  <si>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</si>
  <si>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</si>
  <si>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</si>
  <si>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</si>
  <si>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</si>
  <si>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</si>
  <si>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</si>
  <si>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</si>
  <si>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</si>
  <si>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</si>
  <si>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</si>
  <si>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</si>
  <si>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</si>
  <si>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</si>
  <si>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</si>
  <si>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</si>
  <si>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</si>
  <si>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</si>
  <si>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</si>
  <si>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</si>
  <si>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</si>
  <si>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</si>
  <si>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</si>
  <si>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</si>
  <si>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</si>
  <si>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</si>
  <si>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</si>
  <si>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</si>
  <si>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</si>
  <si>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</si>
  <si>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</si>
  <si>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</si>
  <si>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</si>
  <si>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</si>
  <si>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</si>
  <si>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</si>
  <si>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</si>
  <si>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</si>
  <si>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</si>
  <si>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</si>
  <si>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</si>
  <si>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</si>
  <si>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</si>
  <si>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</si>
  <si>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</si>
  <si>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</si>
  <si>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</si>
  <si>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</si>
  <si>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</si>
  <si>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</si>
  <si>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</si>
  <si>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</si>
  <si>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</si>
  <si>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</si>
  <si>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</si>
  <si>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</si>
  <si>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</si>
  <si>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</si>
  <si>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</si>
  <si>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</si>
  <si>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</si>
  <si>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</si>
  <si>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</si>
  <si>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</si>
  <si>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</si>
  <si>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</si>
  <si>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</si>
  <si>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</si>
  <si>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</si>
  <si>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</si>
  <si>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</si>
  <si>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</si>
  <si>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</si>
  <si>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</si>
  <si>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</si>
  <si>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</si>
  <si>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</si>
  <si>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</si>
  <si>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</si>
  <si>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</si>
  <si>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</si>
  <si>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</si>
  <si>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</si>
  <si>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</si>
  <si>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</si>
  <si>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</si>
  <si>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</si>
  <si>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</si>
  <si>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</si>
  <si>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</si>
  <si>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</si>
  <si>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</si>
  <si>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</si>
  <si>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</si>
  <si>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</si>
  <si>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</si>
  <si>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</si>
  <si>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</si>
  <si>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</si>
  <si>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</si>
  <si>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</si>
  <si>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</si>
  <si>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</si>
  <si>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</si>
  <si>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</si>
  <si>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</si>
  <si>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</si>
  <si>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</si>
  <si>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</si>
  <si>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</si>
  <si>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</si>
  <si>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</si>
  <si>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</si>
  <si>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</si>
  <si>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</si>
  <si>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</si>
  <si>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</si>
  <si>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</si>
  <si>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</si>
  <si>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</si>
  <si>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</si>
  <si>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</si>
  <si>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</si>
  <si>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</si>
  <si>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</si>
  <si>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</si>
  <si>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</si>
  <si>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</si>
  <si>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</si>
  <si>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</si>
  <si>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</si>
  <si>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</si>
  <si>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</si>
  <si>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</si>
  <si>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</si>
  <si>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</si>
  <si>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</si>
  <si>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</si>
  <si>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</si>
  <si>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</si>
  <si>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</si>
  <si>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</si>
  <si>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</si>
  <si>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</si>
  <si>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</si>
  <si>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</si>
  <si>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</si>
  <si>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</si>
  <si>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</si>
  <si>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</si>
  <si>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</si>
  <si>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</si>
  <si>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</si>
  <si>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</si>
  <si>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</si>
  <si>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</si>
  <si>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</si>
  <si>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</si>
  <si>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</si>
  <si>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</si>
  <si>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</si>
  <si>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</si>
  <si>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</si>
  <si>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</si>
  <si>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</si>
  <si>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</si>
  <si>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</si>
  <si>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</si>
  <si>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</si>
  <si>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</si>
  <si>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</si>
  <si>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</si>
  <si>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</si>
  <si>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</si>
  <si>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</si>
  <si>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</si>
  <si>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</si>
  <si>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</si>
  <si>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</si>
  <si>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</si>
  <si>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</si>
  <si>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</si>
  <si>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</si>
  <si>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</si>
  <si>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</si>
  <si>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</si>
  <si>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</si>
  <si>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</si>
  <si>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</si>
  <si>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</si>
  <si>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</si>
  <si>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</si>
  <si>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</si>
  <si>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</si>
  <si>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</si>
  <si>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</si>
  <si>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</si>
  <si>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</si>
  <si>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</si>
  <si>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</si>
  <si>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</si>
  <si>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</si>
  <si>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</si>
  <si>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</si>
  <si>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</si>
  <si>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</si>
  <si>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</si>
  <si>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</si>
  <si>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</si>
  <si>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</si>
  <si>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</si>
  <si>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</si>
  <si>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</si>
  <si>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</si>
  <si>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</si>
  <si>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</si>
  <si>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</si>
  <si>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</si>
  <si>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</si>
  <si>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</si>
  <si>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</si>
  <si>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</si>
  <si>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</si>
  <si>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</si>
  <si>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</si>
  <si>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</si>
  <si>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</si>
  <si>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</si>
  <si>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</si>
  <si>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</si>
  <si>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</si>
  <si>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</si>
  <si>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</si>
  <si>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</si>
  <si>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</si>
  <si>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</si>
  <si>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</si>
  <si>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</si>
  <si>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</si>
  <si>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</si>
  <si>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</si>
  <si>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</si>
  <si>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</si>
  <si>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</si>
  <si>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</si>
  <si>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</si>
  <si>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</si>
  <si>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</si>
  <si>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</si>
  <si>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</si>
  <si>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</si>
  <si>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</si>
  <si>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</si>
  <si>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</si>
  <si>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</si>
  <si>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</si>
  <si>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</si>
  <si>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</si>
  <si>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</si>
  <si>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</si>
  <si>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</si>
  <si>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</si>
  <si>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</si>
  <si>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</si>
  <si>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</si>
  <si>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</si>
  <si>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</si>
  <si>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</si>
  <si>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</si>
  <si>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</si>
  <si>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</si>
  <si>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</si>
  <si>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</si>
  <si>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</si>
  <si>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</si>
  <si>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</si>
  <si>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</si>
  <si>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</si>
  <si>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</si>
  <si>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</si>
  <si>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</si>
  <si>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</si>
  <si>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</si>
  <si>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</si>
  <si>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</si>
  <si>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</si>
  <si>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</si>
  <si>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</si>
  <si>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</si>
  <si>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</si>
  <si>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</si>
  <si>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</si>
  <si>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</si>
  <si>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</si>
  <si>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</si>
  <si>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</si>
  <si>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</si>
  <si>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</si>
  <si>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</si>
  <si>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</si>
  <si>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</si>
  <si>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</si>
  <si>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</si>
  <si>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</si>
  <si>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</si>
  <si>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</si>
  <si>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</si>
  <si>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</si>
  <si>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</si>
  <si>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</si>
  <si>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</si>
  <si>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</si>
  <si>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</si>
  <si>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</si>
  <si>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</si>
  <si>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</si>
  <si>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</si>
  <si>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</si>
  <si>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</si>
  <si>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</si>
  <si>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</si>
  <si>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</si>
  <si>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</si>
  <si>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</si>
  <si>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</si>
  <si>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</si>
  <si>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</si>
  <si>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</si>
  <si>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</si>
  <si>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</si>
  <si>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</si>
  <si>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</si>
  <si>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</si>
  <si>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</si>
  <si>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</si>
  <si>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</si>
  <si>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</si>
  <si>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</si>
  <si>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</si>
  <si>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</si>
  <si>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</si>
  <si>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</si>
  <si>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</si>
  <si>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</si>
  <si>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</si>
  <si>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</si>
  <si>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</si>
  <si>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</si>
  <si>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</si>
  <si>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</si>
  <si>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</si>
  <si>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</si>
  <si>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</si>
  <si>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</si>
  <si>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</si>
  <si>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</si>
  <si>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</si>
  <si>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</si>
  <si>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</si>
  <si>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</si>
  <si>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</si>
  <si>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</si>
  <si>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</si>
  <si>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</si>
  <si>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</si>
  <si>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</si>
  <si>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</si>
  <si>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</si>
  <si>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</si>
  <si>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</si>
  <si>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</si>
  <si>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</si>
  <si>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</si>
  <si>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</si>
  <si>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</si>
  <si>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</si>
  <si>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</si>
  <si>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</si>
  <si>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</si>
  <si>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</si>
  <si>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</si>
  <si>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</si>
  <si>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</si>
  <si>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</si>
  <si>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</si>
  <si>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</si>
  <si>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</si>
  <si>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</si>
  <si>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</si>
  <si>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</si>
  <si>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</si>
  <si>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</si>
  <si>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</si>
  <si>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</si>
  <si>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</si>
  <si>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</si>
  <si>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</si>
  <si>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</si>
  <si>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</si>
  <si>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</si>
  <si>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</si>
  <si>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</si>
  <si>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</si>
  <si>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</si>
  <si>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</si>
  <si>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</si>
  <si>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</si>
  <si>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</si>
  <si>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</si>
  <si>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</si>
  <si>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</si>
  <si>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</si>
  <si>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</si>
  <si>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</si>
  <si>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</si>
  <si>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</si>
  <si>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</si>
  <si>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</si>
  <si>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</si>
  <si>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</si>
  <si>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</si>
  <si>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</si>
  <si>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</si>
  <si>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</si>
  <si>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</si>
  <si>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</si>
  <si>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</si>
  <si>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</si>
  <si>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</si>
  <si>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</si>
  <si>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</si>
  <si>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</si>
  <si>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</si>
  <si>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</si>
  <si>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</si>
  <si>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</si>
  <si>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</si>
  <si>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</si>
  <si>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</si>
  <si>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</si>
  <si>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</si>
  <si>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</si>
  <si>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</si>
  <si>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</si>
  <si>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</si>
  <si>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</si>
  <si>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</si>
  <si>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</si>
  <si>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</si>
  <si>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</si>
  <si>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</si>
  <si>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</si>
  <si>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</si>
  <si>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</si>
  <si>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</si>
  <si>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</si>
  <si>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</si>
  <si>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</si>
  <si>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</si>
  <si>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</si>
  <si>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</si>
  <si>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</si>
  <si>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</si>
  <si>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</si>
  <si>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</si>
  <si>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</si>
  <si>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</si>
  <si>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</si>
  <si>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</si>
  <si>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</si>
  <si>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</si>
  <si>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</si>
  <si>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</si>
  <si>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</si>
  <si>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</si>
  <si>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</si>
  <si>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</si>
  <si>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</si>
  <si>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</si>
  <si>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</si>
  <si>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</si>
  <si>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</si>
  <si>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</si>
  <si>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</si>
  <si>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</si>
  <si>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</si>
  <si>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</si>
  <si>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</si>
  <si>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</si>
  <si>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</si>
  <si>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</si>
  <si>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</si>
  <si>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</si>
  <si>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</si>
  <si>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</si>
  <si>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</si>
  <si>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</si>
  <si>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</si>
  <si>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</si>
  <si>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</si>
  <si>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</si>
  <si>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</si>
  <si>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</si>
  <si>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</si>
  <si>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</si>
  <si>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</si>
  <si>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</si>
  <si>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</si>
  <si>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</si>
  <si>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</si>
  <si>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</si>
  <si>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</si>
  <si>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</si>
  <si>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</si>
  <si>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</si>
  <si>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</si>
  <si>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</si>
  <si>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</si>
  <si>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</si>
  <si>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</si>
  <si>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</si>
  <si>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</si>
  <si>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</si>
  <si>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</si>
  <si>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</si>
  <si>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</si>
  <si>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</si>
  <si>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</si>
  <si>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</si>
  <si>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</si>
  <si>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</si>
  <si>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</si>
  <si>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</si>
  <si>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</si>
  <si>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</si>
  <si>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</si>
  <si>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</si>
  <si>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</si>
  <si>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</si>
  <si>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</si>
  <si>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</si>
  <si>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</si>
  <si>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</si>
  <si>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</si>
  <si>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</si>
  <si>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</si>
  <si>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</si>
  <si>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</si>
  <si>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</si>
  <si>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</si>
  <si>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</si>
  <si>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</si>
  <si>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</si>
  <si>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</si>
  <si>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</si>
  <si>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</si>
  <si>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</si>
  <si>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</si>
  <si>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</si>
  <si>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</si>
  <si>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</si>
  <si>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</si>
  <si>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</si>
  <si>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</si>
  <si>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</si>
  <si>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</si>
  <si>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</si>
  <si>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</si>
  <si>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</si>
  <si>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</si>
  <si>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</si>
  <si>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</si>
  <si>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</si>
  <si>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</si>
  <si>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</si>
  <si>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</si>
  <si>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</si>
  <si>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</si>
  <si>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</si>
  <si>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</si>
  <si>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</si>
  <si>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</si>
  <si>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</si>
  <si>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</si>
  <si>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</si>
  <si>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</si>
  <si>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</si>
  <si>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</si>
  <si>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</si>
  <si>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</si>
  <si>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</si>
  <si>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</si>
  <si>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</si>
  <si>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</si>
  <si>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</si>
  <si>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</si>
  <si>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</si>
  <si>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</si>
  <si>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</si>
  <si>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</si>
  <si>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</si>
  <si>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</si>
  <si>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</si>
  <si>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</si>
  <si>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</si>
  <si>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</si>
  <si>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</si>
  <si>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</si>
  <si>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</si>
  <si>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</si>
  <si>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</si>
  <si>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</si>
  <si>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</si>
  <si>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</si>
  <si>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</si>
  <si>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</si>
  <si>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</si>
  <si>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</si>
  <si>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</si>
  <si>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</si>
  <si>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</si>
  <si>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</si>
  <si>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</si>
  <si>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</si>
  <si>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</si>
  <si>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</si>
  <si>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</si>
  <si>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</si>
  <si>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</si>
  <si>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</si>
  <si>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</si>
  <si>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</si>
  <si>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</si>
  <si>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</si>
  <si>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</si>
  <si>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</si>
  <si>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</si>
  <si>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</si>
  <si>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</si>
  <si>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</si>
  <si>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</si>
  <si>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</si>
  <si>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</si>
  <si>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</si>
  <si>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</si>
  <si>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</si>
  <si>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</si>
  <si>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</si>
  <si>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</si>
  <si>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</si>
  <si>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</si>
  <si>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</si>
  <si>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</si>
  <si>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</si>
  <si>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</si>
  <si>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</si>
  <si>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</si>
  <si>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</si>
  <si>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</si>
  <si>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</si>
  <si>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</si>
  <si>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</si>
  <si>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</si>
  <si>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</si>
  <si>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</si>
  <si>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</si>
  <si>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</si>
  <si>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</si>
  <si>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</si>
  <si>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</si>
  <si>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</si>
  <si>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</si>
  <si>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</si>
  <si>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</si>
  <si>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</si>
  <si>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</si>
  <si>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</si>
  <si>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</si>
  <si>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</si>
  <si>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</si>
  <si>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</si>
  <si>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</si>
  <si>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</si>
  <si>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</si>
  <si>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</si>
  <si>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</si>
  <si>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</si>
  <si>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</si>
  <si>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</si>
  <si>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</si>
  <si>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</si>
  <si>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</si>
  <si>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</si>
  <si>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</si>
  <si>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</si>
  <si>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</si>
  <si>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</si>
  <si>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</si>
  <si>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</si>
  <si>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</si>
  <si>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</si>
  <si>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</si>
  <si>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</si>
  <si>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</si>
  <si>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</si>
  <si>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</si>
  <si>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</si>
  <si>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</si>
  <si>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</si>
  <si>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</si>
  <si>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</si>
  <si>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</si>
  <si>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</si>
  <si>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</si>
  <si>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</si>
  <si>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</si>
  <si>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</si>
  <si>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</si>
  <si>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</si>
  <si>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</si>
  <si>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</si>
  <si>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</si>
  <si>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</si>
  <si>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</si>
  <si>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</si>
  <si>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</si>
  <si>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</si>
  <si>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</si>
  <si>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</si>
  <si>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</si>
  <si>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</si>
  <si>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</si>
  <si>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</si>
  <si>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</si>
  <si>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</si>
  <si>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</si>
  <si>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</si>
  <si>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</si>
  <si>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</si>
  <si>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</si>
  <si>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</si>
  <si>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</si>
  <si>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</si>
  <si>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</si>
  <si>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</si>
  <si>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</si>
  <si>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</si>
  <si>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</si>
  <si>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</si>
  <si>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</si>
  <si>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</si>
  <si>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</si>
  <si>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</si>
  <si>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</si>
  <si>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</si>
  <si>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</si>
  <si>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</si>
  <si>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</si>
  <si>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</si>
  <si>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</si>
  <si>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</si>
  <si>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</si>
  <si>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</si>
  <si>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</si>
  <si>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</si>
  <si>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</si>
  <si>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</si>
  <si>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</si>
  <si>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</si>
  <si>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</si>
  <si>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</si>
  <si>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</si>
  <si>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</si>
  <si>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</si>
  <si>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</si>
  <si>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</si>
  <si>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</si>
  <si>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</si>
  <si>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</si>
  <si>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</si>
  <si>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</si>
  <si>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</si>
  <si>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</si>
  <si>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</si>
  <si>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</si>
  <si>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</si>
  <si>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</si>
  <si>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</si>
  <si>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</si>
  <si>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</si>
  <si>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</si>
  <si>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</si>
  <si>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</si>
  <si>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</si>
  <si>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</si>
  <si>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</si>
  <si>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</si>
  <si>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</si>
  <si>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</si>
  <si>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</si>
  <si>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</si>
  <si>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</si>
  <si>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</si>
  <si>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</si>
  <si>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</si>
  <si>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</si>
  <si>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</si>
  <si>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</si>
  <si>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</si>
  <si>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</si>
  <si>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</si>
  <si>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</si>
  <si>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</si>
  <si>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</si>
  <si>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</si>
  <si>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</si>
  <si>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</si>
  <si>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</si>
  <si>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</si>
  <si>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</si>
  <si>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</si>
  <si>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</si>
  <si>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</si>
  <si>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</si>
  <si>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</si>
  <si>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</si>
  <si>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</si>
  <si>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</si>
  <si>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</si>
  <si>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</si>
  <si>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</si>
  <si>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</si>
  <si>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</si>
  <si>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</si>
  <si>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</si>
  <si>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</si>
  <si>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</si>
  <si>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</si>
  <si>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</si>
  <si>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</si>
  <si>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</si>
  <si>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</si>
  <si>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</si>
  <si>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</si>
  <si>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</si>
  <si>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</si>
  <si>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</si>
  <si>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</si>
  <si>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</si>
  <si>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</si>
  <si>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</si>
  <si>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</si>
  <si>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</si>
  <si>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</si>
  <si>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</si>
  <si>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</si>
  <si>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</si>
  <si>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</si>
  <si>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</si>
  <si>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</si>
  <si>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</si>
  <si>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</si>
  <si>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</si>
  <si>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</si>
  <si>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</si>
  <si>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</si>
  <si>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</si>
  <si>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</si>
  <si>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</si>
  <si>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</si>
  <si>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</si>
  <si>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</si>
  <si>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</si>
  <si>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</si>
  <si>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</si>
  <si>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</si>
  <si>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</si>
  <si>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</si>
  <si>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</si>
  <si>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</si>
  <si>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</si>
  <si>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</si>
  <si>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</si>
  <si>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</si>
  <si>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</si>
  <si>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</si>
  <si>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</si>
  <si>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</si>
  <si>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</si>
  <si>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</si>
  <si>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</si>
  <si>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</si>
  <si>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</si>
  <si>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</si>
  <si>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</si>
  <si>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</si>
  <si>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</si>
  <si>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</si>
  <si>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</si>
  <si>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</si>
  <si>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</si>
  <si>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</si>
  <si>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</si>
  <si>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</si>
  <si>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</si>
  <si>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</si>
  <si>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</si>
  <si>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</si>
  <si>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</si>
  <si>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</si>
  <si>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</si>
  <si>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</si>
  <si>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</si>
  <si>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</si>
  <si>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</si>
  <si>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</si>
  <si>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</si>
  <si>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</si>
  <si>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</si>
  <si>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</si>
  <si>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</si>
  <si>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</si>
  <si>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</si>
  <si>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</si>
  <si>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</si>
  <si>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</si>
  <si>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</si>
  <si>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</si>
  <si>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</si>
  <si>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</si>
  <si>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</si>
  <si>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</si>
  <si>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</si>
  <si>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</si>
  <si>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</si>
  <si>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</si>
  <si>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</si>
  <si>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</si>
  <si>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</si>
  <si>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</si>
  <si>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</si>
  <si>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</si>
  <si>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</si>
  <si>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</si>
  <si>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</si>
  <si>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</si>
  <si>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</si>
  <si>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</si>
  <si>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</si>
  <si>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</si>
  <si>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</si>
  <si>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</si>
  <si>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</si>
  <si>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</si>
  <si>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</si>
  <si>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</si>
  <si>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</si>
  <si>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</si>
  <si>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</si>
  <si>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</si>
  <si>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</si>
  <si>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</si>
  <si>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</si>
  <si>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</si>
  <si>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</si>
  <si>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</si>
  <si>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</si>
  <si>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</si>
  <si>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</si>
  <si>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</si>
  <si>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</si>
  <si>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</si>
  <si>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</si>
  <si>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</si>
  <si>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</si>
  <si>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</si>
  <si>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</si>
  <si>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</si>
  <si>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</si>
  <si>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</si>
  <si>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</si>
  <si>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</si>
  <si>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</si>
  <si>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</si>
  <si>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</si>
  <si>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</si>
  <si>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</si>
  <si>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</si>
  <si>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</si>
  <si>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</si>
  <si>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</si>
  <si>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</si>
  <si>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</si>
  <si>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</si>
  <si>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</si>
  <si>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</si>
  <si>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</si>
  <si>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</si>
  <si>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</si>
  <si>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</si>
  <si>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</si>
  <si>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</si>
  <si>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</si>
  <si>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</si>
  <si>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</si>
  <si>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</si>
  <si>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</si>
  <si>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</si>
  <si>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</si>
  <si>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</si>
  <si>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</si>
  <si>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</si>
  <si>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</si>
  <si>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</si>
  <si>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</si>
  <si>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</si>
  <si>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</si>
  <si>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</si>
  <si>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</si>
  <si>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</si>
  <si>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</si>
  <si>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</si>
  <si>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</si>
  <si>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</si>
  <si>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</si>
  <si>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</si>
  <si>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</si>
  <si>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</si>
  <si>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</si>
  <si>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</si>
  <si>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</si>
  <si>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</si>
  <si>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</si>
  <si>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</si>
  <si>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</si>
  <si>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</si>
  <si>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</si>
  <si>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</si>
  <si>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</si>
  <si>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</si>
  <si>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</si>
  <si>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</si>
  <si>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</si>
  <si>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</si>
  <si>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</si>
  <si>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</si>
  <si>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</si>
  <si>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</si>
  <si>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</si>
  <si>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</si>
  <si>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</si>
  <si>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</si>
  <si>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</si>
  <si>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</si>
  <si>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</si>
  <si>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</si>
  <si>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</si>
  <si>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</si>
  <si>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</si>
  <si>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</si>
  <si>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</si>
  <si>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</si>
  <si>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</si>
  <si>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</si>
  <si>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</si>
  <si>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</si>
  <si>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</si>
  <si>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</si>
  <si>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</si>
  <si>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</si>
  <si>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</si>
  <si>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</si>
  <si>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</si>
  <si>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</si>
  <si>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</si>
  <si>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</si>
  <si>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</si>
  <si>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</si>
  <si>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</si>
  <si>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</si>
  <si>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</si>
  <si>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</si>
  <si>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</si>
  <si>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</si>
  <si>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</si>
  <si>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</si>
  <si>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</si>
  <si>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</si>
  <si>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</si>
  <si>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</si>
  <si>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</si>
  <si>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</si>
  <si>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</si>
  <si>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</si>
  <si>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</si>
  <si>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</si>
  <si>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</si>
  <si>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</si>
  <si>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</si>
  <si>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</si>
  <si>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</si>
  <si>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</si>
  <si>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</si>
  <si>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</si>
  <si>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</si>
  <si>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</si>
  <si>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</si>
  <si>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</si>
  <si>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</si>
  <si>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</si>
  <si>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</si>
  <si>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</si>
  <si>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</si>
  <si>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</si>
  <si>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</si>
  <si>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</si>
  <si>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</si>
  <si>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</si>
  <si>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</si>
  <si>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</si>
  <si>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</si>
  <si>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</si>
  <si>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</si>
  <si>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</si>
  <si>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</si>
  <si>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</si>
  <si>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</si>
  <si>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</si>
  <si>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</si>
  <si>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</si>
  <si>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</si>
  <si>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</si>
  <si>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</si>
  <si>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</si>
  <si>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</si>
  <si>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</si>
  <si>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</si>
  <si>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</si>
  <si>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</si>
  <si>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</si>
  <si>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</si>
  <si>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</si>
  <si>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</si>
  <si>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</si>
  <si>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</si>
  <si>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</si>
  <si>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</si>
  <si>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</si>
  <si>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</si>
  <si>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</si>
  <si>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</si>
  <si>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</si>
  <si>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</si>
  <si>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</si>
  <si>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</si>
  <si>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</si>
  <si>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</si>
  <si>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</si>
  <si>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</si>
  <si>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</si>
  <si>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</si>
  <si>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</si>
  <si>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</si>
  <si>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</si>
  <si>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</si>
  <si>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</si>
  <si>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</si>
  <si>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</si>
  <si>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</si>
  <si>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</si>
  <si>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</si>
  <si>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</si>
  <si>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</si>
  <si>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</si>
  <si>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</si>
  <si>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</si>
  <si>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</si>
  <si>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</si>
  <si>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</si>
  <si>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</si>
  <si>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</si>
  <si>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</si>
  <si>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</si>
  <si>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</si>
  <si>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</si>
  <si>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</si>
  <si>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</si>
  <si>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</si>
  <si>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</si>
  <si>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</si>
  <si>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</si>
  <si>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</si>
  <si>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</si>
  <si>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</si>
  <si>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</si>
  <si>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</si>
  <si>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</si>
  <si>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</si>
  <si>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</si>
  <si>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</si>
  <si>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</si>
  <si>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</si>
  <si>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</si>
  <si>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</si>
  <si>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</si>
  <si>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</si>
  <si>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</si>
  <si>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</si>
  <si>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</si>
  <si>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</si>
  <si>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</si>
  <si>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</si>
  <si>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</si>
  <si>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</si>
  <si>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</si>
  <si>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</si>
  <si>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</si>
  <si>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</si>
  <si>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</si>
  <si>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</si>
  <si>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</si>
  <si>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</si>
  <si>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</si>
  <si>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</si>
  <si>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</si>
  <si>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</si>
  <si>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</si>
  <si>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</si>
  <si>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</si>
  <si>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</si>
  <si>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</si>
  <si>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</si>
  <si>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</si>
  <si>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</si>
  <si>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</si>
  <si>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</si>
  <si>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</si>
  <si>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</si>
  <si>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</si>
  <si>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</si>
  <si>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</si>
  <si>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</si>
  <si>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</si>
  <si>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</si>
  <si>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</si>
  <si>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</si>
  <si>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</si>
  <si>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</si>
  <si>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</si>
  <si>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</si>
  <si>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</si>
  <si>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</si>
  <si>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</si>
  <si>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</si>
  <si>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</si>
  <si>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</si>
  <si>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</si>
  <si>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</si>
  <si>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</si>
  <si>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</si>
  <si>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</si>
  <si>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</si>
  <si>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</si>
  <si>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</si>
  <si>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</si>
  <si>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</si>
  <si>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</si>
  <si>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</si>
  <si>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</si>
  <si>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</si>
  <si>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</si>
  <si>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</si>
  <si>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</si>
  <si>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</si>
  <si>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</si>
  <si>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</si>
  <si>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</si>
  <si>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</si>
  <si>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</si>
  <si>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</si>
  <si>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</si>
  <si>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</si>
  <si>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</si>
  <si>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</si>
  <si>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</si>
  <si>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</si>
  <si>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</si>
  <si>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</si>
  <si>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</si>
  <si>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</si>
  <si>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</si>
  <si>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</si>
  <si>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</si>
  <si>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</si>
  <si>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</si>
  <si>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</si>
  <si>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</si>
  <si>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</si>
  <si>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</si>
  <si>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</si>
  <si>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</si>
  <si>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</si>
  <si>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</si>
  <si>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</si>
  <si>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</si>
  <si>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</si>
  <si>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</si>
  <si>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</si>
  <si>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</si>
  <si>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</si>
  <si>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</si>
  <si>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</si>
  <si>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</si>
  <si>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</si>
  <si>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</si>
  <si>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</si>
  <si>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</si>
  <si>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</si>
  <si>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</si>
  <si>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</si>
  <si>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</si>
  <si>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</si>
  <si>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</si>
  <si>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</si>
  <si>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</si>
  <si>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</si>
  <si>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</si>
  <si>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</si>
  <si>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</si>
  <si>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</si>
  <si>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</si>
  <si>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</si>
  <si>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</si>
  <si>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</si>
  <si>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</si>
  <si>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</si>
  <si>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</si>
  <si>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</si>
  <si>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</si>
  <si>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</si>
  <si>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</si>
  <si>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</si>
  <si>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</si>
  <si>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</si>
  <si>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</si>
  <si>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</si>
  <si>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</si>
  <si>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</si>
  <si>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</si>
  <si>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</si>
  <si>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</si>
  <si>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</si>
  <si>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</si>
  <si>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</si>
  <si>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</si>
  <si>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</si>
  <si>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</si>
  <si>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</si>
  <si>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</si>
  <si>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</si>
  <si>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</si>
  <si>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</si>
  <si>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</si>
  <si>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</si>
  <si>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</si>
  <si>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</si>
  <si>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</si>
  <si>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</si>
  <si>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</si>
  <si>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</si>
  <si>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</si>
  <si>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</si>
  <si>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</si>
  <si>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</si>
  <si>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</si>
  <si>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</si>
  <si>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</si>
  <si>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</si>
  <si>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</si>
  <si>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</si>
  <si>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</si>
  <si>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</si>
  <si>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</si>
  <si>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</si>
  <si>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</si>
  <si>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</si>
  <si>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</si>
  <si>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</si>
  <si>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</si>
  <si>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</si>
  <si>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</si>
  <si>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</si>
  <si>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</si>
  <si>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</si>
  <si>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</si>
  <si>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</si>
  <si>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</si>
  <si>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</si>
  <si>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</si>
  <si>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</si>
  <si>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</si>
  <si>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</si>
  <si>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</si>
  <si>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</si>
  <si>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</si>
  <si>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</si>
  <si>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</si>
  <si>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</si>
  <si>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</si>
  <si>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</si>
  <si>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</si>
  <si>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</si>
  <si>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</si>
  <si>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</si>
  <si>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</si>
  <si>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</si>
  <si>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</si>
  <si>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</si>
  <si>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</si>
  <si>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</si>
  <si>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</si>
  <si>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</si>
  <si>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</si>
  <si>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</si>
  <si>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</si>
  <si>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</si>
  <si>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</si>
  <si>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</si>
  <si>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</si>
  <si>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</si>
  <si>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</si>
  <si>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</si>
  <si>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</si>
  <si>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</si>
  <si>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</si>
  <si>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</si>
  <si>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</si>
  <si>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</si>
  <si>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</si>
  <si>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</si>
  <si>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</si>
  <si>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</si>
  <si>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</si>
  <si>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</si>
  <si>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</si>
  <si>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</si>
  <si>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</si>
  <si>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</si>
  <si>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</si>
  <si>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</si>
  <si>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</si>
  <si>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</si>
  <si>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</si>
  <si>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</si>
  <si>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</si>
  <si>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</si>
  <si>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</si>
  <si>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</si>
  <si>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</si>
  <si>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</si>
  <si>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</si>
  <si>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</si>
  <si>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</si>
  <si>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</si>
  <si>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</si>
  <si>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</si>
  <si>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</si>
  <si>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</si>
  <si>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</si>
  <si>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</si>
  <si>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</si>
  <si>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</si>
  <si>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</si>
  <si>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</si>
  <si>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</si>
  <si>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</si>
  <si>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</si>
  <si>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</si>
  <si>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</si>
  <si>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</si>
  <si>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</si>
  <si>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</si>
  <si>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</si>
  <si>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</si>
  <si>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</si>
  <si>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</si>
  <si>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</si>
  <si>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</si>
  <si>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</si>
  <si>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</si>
  <si>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</si>
  <si>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</si>
  <si>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</si>
  <si>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</si>
  <si>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</si>
  <si>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</si>
  <si>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</si>
  <si>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</si>
  <si>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</si>
  <si>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</si>
  <si>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</si>
  <si>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</si>
  <si>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</si>
  <si>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</si>
  <si>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</si>
  <si>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</si>
  <si>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</si>
  <si>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</si>
  <si>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</si>
  <si>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</si>
  <si>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</si>
  <si>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</si>
  <si>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</si>
  <si>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</si>
  <si>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</si>
  <si>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</si>
  <si>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</si>
  <si>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</si>
  <si>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</si>
  <si>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</si>
  <si>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</si>
  <si>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</si>
  <si>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</si>
  <si>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</si>
  <si>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</si>
  <si>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</si>
  <si>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</si>
  <si>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</si>
  <si>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</si>
  <si>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</si>
  <si>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</si>
  <si>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</si>
  <si>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</si>
  <si>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</si>
  <si>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</si>
  <si>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</si>
  <si>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</si>
  <si>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</si>
  <si>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</si>
  <si>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</si>
  <si>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</si>
  <si>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</si>
  <si>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</si>
  <si>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</si>
  <si>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</si>
  <si>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</si>
  <si>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</si>
  <si>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</si>
  <si>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</si>
  <si>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</si>
  <si>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</si>
  <si>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</si>
  <si>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</si>
  <si>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</si>
  <si>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</si>
  <si>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</si>
  <si>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</si>
  <si>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</si>
  <si>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</si>
  <si>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</si>
  <si>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</si>
  <si>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</si>
  <si>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</si>
  <si>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</si>
  <si>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</si>
  <si>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</si>
  <si>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</si>
  <si>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</si>
  <si>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</si>
  <si>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</si>
  <si>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</si>
  <si>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</si>
  <si>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</si>
  <si>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</si>
  <si>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</si>
  <si>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</si>
  <si>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</si>
  <si>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</si>
  <si>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</si>
  <si>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</si>
  <si>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</si>
  <si>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</si>
  <si>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</si>
  <si>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</si>
  <si>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</si>
  <si>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</si>
  <si>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</si>
  <si>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</si>
  <si>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</si>
  <si>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</si>
  <si>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</si>
  <si>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</si>
  <si>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</si>
  <si>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</si>
  <si>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</si>
  <si>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</si>
  <si>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</si>
  <si>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</si>
  <si>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</si>
  <si>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</si>
  <si>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</si>
  <si>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</si>
  <si>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</si>
  <si>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</si>
  <si>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</si>
  <si>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</si>
  <si>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</si>
  <si>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</si>
  <si>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</si>
  <si>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</si>
  <si>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</si>
  <si>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</si>
  <si>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</si>
  <si>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</si>
  <si>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</si>
  <si>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</si>
  <si>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</si>
  <si>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</si>
  <si>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</si>
  <si>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</si>
  <si>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</si>
  <si>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</si>
  <si>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</si>
  <si>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</si>
  <si>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</si>
  <si>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</si>
  <si>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</si>
  <si>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</si>
  <si>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</si>
  <si>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</si>
  <si>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</si>
  <si>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</si>
  <si>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</si>
  <si>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</si>
  <si>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</si>
  <si>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</si>
  <si>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</si>
  <si>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</si>
  <si>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</si>
  <si>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</si>
  <si>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</si>
  <si>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</si>
  <si>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</si>
  <si>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</si>
  <si>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</si>
  <si>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</si>
  <si>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</si>
  <si>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</si>
  <si>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</si>
  <si>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</si>
  <si>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</si>
  <si>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</si>
  <si>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</si>
  <si>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</si>
  <si>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</si>
  <si>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</si>
  <si>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</si>
  <si>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</si>
  <si>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</si>
  <si>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</si>
  <si>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</si>
  <si>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</si>
  <si>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</si>
  <si>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</si>
  <si>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</si>
  <si>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</si>
  <si>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</si>
  <si>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</si>
  <si>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</si>
  <si>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</si>
  <si>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</si>
  <si>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</si>
  <si>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</si>
  <si>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</si>
  <si>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</si>
  <si>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</si>
  <si>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</si>
  <si>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</si>
  <si>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</si>
  <si>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</si>
  <si>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</si>
  <si>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</si>
  <si>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</si>
  <si>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</si>
  <si>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</si>
  <si>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</si>
  <si>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</si>
  <si>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</si>
  <si>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</si>
  <si>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</si>
  <si>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</si>
  <si>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</si>
  <si>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</si>
  <si>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</si>
  <si>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</si>
  <si>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</si>
  <si>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</si>
  <si>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</si>
  <si>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</si>
  <si>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</si>
  <si>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</si>
  <si>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</si>
  <si>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</si>
  <si>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</si>
  <si>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</si>
  <si>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</si>
  <si>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</si>
  <si>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</si>
  <si>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</si>
  <si>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</si>
  <si>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</si>
  <si>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</si>
  <si>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</si>
  <si>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</si>
  <si>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</si>
  <si>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</si>
  <si>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</si>
  <si>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</si>
  <si>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</si>
  <si>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</si>
  <si>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</si>
  <si>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</si>
  <si>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</si>
  <si>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</si>
  <si>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</si>
  <si>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</si>
  <si>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</si>
  <si>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</si>
  <si>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</si>
  <si>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</si>
  <si>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</si>
  <si>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</si>
  <si>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</si>
  <si>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</si>
  <si>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</si>
  <si>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</si>
  <si>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</si>
  <si>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</si>
  <si>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</si>
  <si>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</si>
  <si>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</si>
  <si>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</si>
  <si>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</si>
  <si>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</si>
  <si>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</si>
  <si>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</si>
  <si>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</si>
  <si>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</si>
  <si>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</si>
  <si>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</si>
  <si>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</si>
  <si>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</si>
  <si>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</si>
  <si>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</si>
  <si>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</si>
  <si>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</si>
  <si>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</si>
  <si>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</si>
  <si>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</si>
  <si>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</si>
  <si>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</si>
  <si>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</si>
  <si>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</si>
  <si>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</si>
  <si>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</si>
  <si>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</si>
  <si>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</si>
  <si>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</si>
  <si>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</si>
  <si>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</si>
  <si>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</si>
  <si>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</si>
  <si>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</si>
  <si>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</si>
  <si>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</si>
  <si>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</si>
  <si>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</si>
  <si>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</si>
  <si>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</si>
  <si>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</si>
  <si>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</si>
  <si>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</si>
  <si>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</si>
  <si>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</si>
  <si>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</si>
  <si>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</si>
  <si>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</si>
  <si>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</si>
  <si>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</si>
  <si>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</si>
  <si>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</si>
  <si>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</si>
  <si>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</si>
  <si>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</si>
  <si>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</si>
  <si>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</si>
  <si>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</si>
  <si>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</si>
  <si>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</si>
  <si>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</si>
  <si>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</si>
  <si>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</si>
  <si>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</si>
  <si>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</si>
  <si>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</si>
  <si>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</si>
  <si>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</si>
  <si>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</si>
  <si>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</si>
  <si>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</si>
  <si>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</si>
  <si>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</si>
  <si>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</si>
  <si>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</si>
  <si>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</si>
  <si>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</si>
  <si>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</si>
  <si>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</si>
  <si>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</si>
  <si>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</si>
  <si>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</si>
  <si>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</si>
  <si>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</si>
  <si>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</si>
  <si>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</si>
  <si>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</si>
  <si>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</si>
  <si>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</si>
  <si>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</si>
  <si>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</si>
  <si>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</si>
  <si>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</si>
  <si>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</si>
  <si>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</si>
  <si>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</si>
  <si>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</si>
  <si>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</si>
  <si>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</si>
  <si>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</si>
  <si>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</si>
  <si>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</si>
  <si>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</si>
  <si>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</si>
  <si>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</si>
  <si>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</si>
  <si>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</si>
  <si>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</si>
  <si>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</si>
  <si>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</si>
  <si>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</si>
  <si>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</si>
  <si>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</si>
  <si>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</si>
  <si>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</si>
  <si>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</si>
  <si>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</si>
  <si>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</si>
  <si>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</si>
  <si>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</si>
  <si>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</si>
  <si>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</si>
  <si>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</si>
  <si>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</si>
  <si>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</si>
  <si>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</si>
  <si>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</si>
  <si>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</si>
  <si>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</si>
  <si>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</si>
  <si>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</si>
  <si>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</si>
  <si>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</si>
  <si>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</si>
  <si>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</si>
  <si>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</si>
  <si>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</si>
  <si>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</si>
  <si>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</si>
  <si>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</si>
  <si>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</si>
  <si>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</si>
  <si>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</si>
  <si>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</si>
  <si>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</si>
  <si>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</si>
  <si>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</si>
  <si>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</si>
  <si>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</si>
  <si>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</si>
  <si>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</si>
  <si>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</si>
  <si>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</si>
  <si>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</si>
  <si>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</si>
  <si>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</si>
  <si>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</si>
  <si>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</si>
  <si>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</si>
  <si>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</si>
  <si>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</si>
  <si>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</si>
  <si>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</si>
  <si>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</si>
  <si>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</si>
  <si>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</si>
  <si>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</si>
  <si>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</si>
  <si>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</si>
  <si>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</si>
  <si>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</si>
  <si>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</si>
  <si>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</si>
  <si>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</si>
  <si>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</si>
  <si>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</si>
  <si>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</si>
  <si>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</si>
  <si>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</si>
  <si>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</si>
  <si>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</si>
  <si>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</si>
  <si>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</si>
  <si>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</si>
  <si>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</si>
  <si>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</si>
  <si>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</si>
  <si>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</si>
  <si>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</si>
  <si>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</si>
  <si>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</si>
  <si>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</si>
  <si>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</si>
  <si>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</si>
  <si>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</si>
  <si>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</si>
  <si>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</si>
  <si>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</si>
  <si>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</si>
  <si>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</si>
  <si>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</si>
  <si>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</si>
  <si>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</si>
  <si>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</si>
  <si>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</si>
  <si>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</si>
  <si>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</si>
  <si>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</si>
  <si>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</si>
  <si>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</si>
  <si>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</si>
  <si>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</si>
  <si>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</si>
  <si>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</si>
  <si>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</si>
  <si>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</si>
  <si>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</si>
  <si>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</si>
  <si>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</si>
  <si>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</si>
  <si>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</si>
  <si>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</si>
  <si>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</si>
  <si>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</si>
  <si>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</si>
  <si>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</si>
  <si>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</si>
  <si>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</si>
  <si>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</si>
  <si>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</si>
  <si>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</si>
  <si>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</si>
  <si>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</si>
  <si>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</si>
  <si>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</si>
  <si>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</si>
  <si>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</si>
  <si>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</si>
  <si>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</si>
  <si>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</si>
  <si>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</si>
  <si>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</si>
  <si>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</si>
  <si>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</si>
  <si>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</si>
  <si>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</si>
  <si>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</si>
  <si>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</si>
  <si>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</si>
  <si>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</si>
  <si>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</si>
  <si>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</si>
  <si>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</si>
  <si>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</si>
  <si>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</si>
  <si>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</si>
  <si>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</si>
  <si>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</si>
  <si>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</si>
  <si>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</si>
  <si>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</si>
  <si>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</si>
  <si>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</si>
  <si>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</si>
  <si>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</si>
  <si>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</si>
  <si>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</si>
  <si>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</si>
  <si>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</si>
  <si>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</si>
  <si>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</si>
  <si>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</si>
  <si>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</si>
  <si>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</si>
  <si>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</si>
  <si>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</si>
  <si>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</si>
  <si>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</si>
  <si>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</si>
  <si>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</si>
  <si>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</si>
  <si>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</si>
  <si>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</si>
  <si>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</si>
  <si>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</si>
  <si>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</si>
  <si>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</si>
  <si>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</si>
  <si>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</si>
  <si>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</si>
  <si>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</si>
  <si>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</si>
  <si>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</si>
  <si>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</si>
  <si>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</si>
  <si>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</si>
  <si>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</si>
  <si>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</si>
  <si>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</si>
  <si>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</si>
  <si>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</si>
  <si>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</si>
  <si>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</si>
  <si>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</si>
  <si>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</si>
  <si>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</si>
  <si>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</si>
  <si>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</si>
  <si>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</si>
  <si>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</si>
  <si>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</si>
  <si>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</si>
  <si>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</si>
  <si>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</si>
  <si>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</si>
  <si>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</si>
  <si>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</si>
  <si>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</si>
  <si>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</si>
  <si>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</si>
  <si>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</si>
  <si>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</si>
  <si>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</si>
  <si>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</si>
  <si>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</si>
  <si>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</si>
  <si>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</si>
  <si>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</si>
  <si>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</si>
  <si>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</si>
  <si>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</si>
  <si>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</si>
  <si>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</si>
  <si>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</si>
  <si>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</si>
  <si>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</si>
  <si>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</si>
  <si>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</si>
  <si>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</si>
  <si>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</si>
  <si>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</si>
  <si>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</si>
  <si>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</si>
  <si>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</si>
  <si>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</si>
  <si>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</si>
  <si>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</si>
  <si>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</si>
  <si>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</si>
  <si>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</si>
  <si>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</si>
  <si>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</si>
  <si>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</si>
  <si>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</si>
  <si>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</si>
  <si>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</si>
  <si>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</si>
  <si>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</si>
  <si>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</si>
  <si>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</si>
  <si>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</si>
  <si>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</si>
  <si>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</si>
  <si>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</si>
  <si>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</si>
  <si>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</si>
  <si>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</si>
  <si>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</si>
  <si>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</si>
  <si>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</si>
  <si>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</si>
  <si>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</si>
  <si>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</si>
  <si>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</si>
  <si>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</si>
  <si>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</si>
  <si>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</si>
  <si>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</si>
  <si>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</si>
  <si>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</si>
  <si>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</si>
  <si>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</si>
  <si>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</si>
  <si>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</si>
  <si>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</si>
  <si>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</si>
  <si>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</si>
  <si>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</si>
  <si>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</si>
  <si>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</si>
  <si>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</si>
  <si>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</si>
  <si>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</si>
  <si>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</si>
  <si>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</si>
  <si>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</si>
  <si>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</si>
  <si>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</si>
  <si>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</si>
  <si>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</si>
  <si>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</si>
  <si>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</si>
  <si>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</si>
  <si>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</si>
  <si>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</si>
  <si>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</si>
  <si>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</si>
  <si>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</si>
  <si>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</si>
  <si>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</si>
  <si>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</si>
  <si>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</si>
  <si>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</si>
  <si>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</si>
  <si>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</si>
  <si>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</si>
  <si>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</si>
  <si>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</si>
  <si>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</si>
  <si>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</si>
  <si>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</si>
  <si>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</si>
  <si>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</si>
  <si>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</si>
  <si>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</si>
  <si>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</si>
  <si>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</si>
  <si>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</si>
  <si>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</si>
  <si>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</si>
  <si>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</si>
  <si>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</si>
  <si>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</si>
  <si>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</si>
  <si>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</si>
  <si>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</si>
  <si>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</si>
  <si>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</si>
  <si>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</si>
  <si>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</si>
  <si>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</si>
  <si>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</si>
  <si>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</si>
  <si>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</si>
  <si>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</si>
  <si>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</si>
  <si>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</si>
  <si>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</si>
  <si>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</si>
  <si>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</si>
  <si>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</si>
  <si>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</si>
  <si>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</si>
  <si>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</si>
  <si>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</si>
  <si>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</si>
  <si>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</si>
  <si>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</si>
  <si>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</si>
  <si>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</si>
  <si>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</si>
  <si>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</si>
  <si>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</si>
  <si>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</si>
  <si>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</si>
  <si>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</si>
  <si>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</si>
  <si>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</si>
  <si>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</si>
  <si>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</si>
  <si>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</si>
  <si>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</si>
  <si>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</si>
  <si>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</si>
  <si>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</si>
  <si>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</si>
  <si>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</si>
  <si>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</si>
  <si>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</si>
  <si>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</si>
  <si>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</si>
  <si>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</si>
  <si>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</si>
  <si>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</si>
  <si>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</si>
  <si>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</si>
  <si>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</si>
  <si>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</si>
  <si>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</si>
  <si>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</si>
  <si>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</si>
  <si>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</si>
  <si>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</si>
  <si>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</si>
  <si>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</si>
  <si>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</si>
  <si>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</si>
  <si>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</si>
  <si>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</si>
  <si>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</si>
  <si>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</si>
  <si>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</si>
  <si>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</si>
  <si>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</si>
  <si>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</si>
  <si>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</si>
  <si>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</si>
  <si>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</si>
  <si>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</si>
  <si>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</si>
  <si>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</si>
  <si>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</si>
  <si>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</si>
  <si>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</si>
  <si>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</si>
  <si>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</si>
  <si>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</si>
  <si>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</si>
  <si>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</si>
  <si>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</si>
  <si>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</si>
  <si>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</si>
  <si>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</si>
  <si>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</si>
  <si>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</si>
  <si>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</si>
  <si>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</si>
  <si>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</si>
  <si>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</si>
  <si>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</si>
  <si>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</si>
  <si>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</si>
  <si>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</si>
  <si>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</si>
  <si>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</si>
  <si>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</si>
  <si>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</si>
  <si>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</si>
  <si>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</si>
  <si>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</si>
  <si>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</si>
  <si>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</si>
  <si>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</si>
  <si>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</si>
  <si>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</si>
  <si>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</si>
  <si>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</si>
  <si>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</si>
  <si>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</si>
  <si>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</si>
  <si>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</si>
  <si>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</si>
  <si>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</si>
  <si>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</si>
  <si>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</si>
  <si>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</si>
  <si>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</si>
  <si>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</si>
  <si>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</si>
  <si>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</si>
  <si>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</si>
  <si>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</si>
  <si>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</si>
  <si>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</si>
  <si>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</si>
  <si>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</si>
  <si>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</si>
  <si>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</si>
  <si>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</si>
  <si>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</si>
  <si>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</si>
  <si>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</si>
  <si>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</si>
  <si>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</si>
  <si>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</si>
  <si>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</si>
  <si>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</si>
  <si>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</si>
  <si>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</si>
  <si>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</si>
  <si>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</si>
  <si>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</si>
  <si>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</si>
  <si>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</si>
  <si>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</si>
  <si>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Ⅶ-顺1</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</si>
  <si>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</si>
  <si>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</si>
  <si>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</si>
  <si>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</si>
  <si>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</si>
  <si>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</si>
  <si>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</si>
  <si>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</si>
  <si>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</si>
  <si>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</si>
  <si>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</si>
  <si>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</si>
  <si>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</si>
  <si>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</si>
  <si>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</si>
  <si>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售价</t>
  </si>
  <si>
    <t>正常</t>
  </si>
  <si>
    <t>雅筑佳苑</t>
    <phoneticPr fontId="3" type="noConversion"/>
  </si>
  <si>
    <t>公园和御</t>
    <phoneticPr fontId="3" type="noConversion"/>
  </si>
  <si>
    <t>车库</t>
    <phoneticPr fontId="31" type="noConversion"/>
  </si>
  <si>
    <t>B1</t>
  </si>
  <si>
    <t>B1</t>
    <phoneticPr fontId="31" type="noConversion"/>
  </si>
  <si>
    <t>B2</t>
    <phoneticPr fontId="31" type="noConversion"/>
  </si>
  <si>
    <t>B3</t>
  </si>
  <si>
    <t>B3</t>
    <phoneticPr fontId="31" type="noConversion"/>
  </si>
  <si>
    <t>B1043</t>
    <phoneticPr fontId="3" type="noConversion"/>
  </si>
  <si>
    <t>B3031</t>
    <phoneticPr fontId="3" type="noConversion"/>
  </si>
  <si>
    <t>北京城建星誉</t>
    <phoneticPr fontId="3" type="noConversion"/>
  </si>
  <si>
    <t>1:1.55</t>
    <phoneticPr fontId="31" type="noConversion"/>
  </si>
  <si>
    <t>1:1.55</t>
    <phoneticPr fontId="31" type="noConversion"/>
  </si>
  <si>
    <t>1:1.2</t>
    <phoneticPr fontId="31" type="noConversion"/>
  </si>
  <si>
    <t>1:1.55</t>
    <phoneticPr fontId="31" type="noConversion"/>
  </si>
  <si>
    <t>押一</t>
  </si>
  <si>
    <t>按不含税租金收入（有效毛租金收入）计税</t>
  </si>
  <si>
    <t>收益法 (元)</t>
  </si>
  <si>
    <t>钢混</t>
  </si>
  <si>
    <t>非生产用房</t>
  </si>
  <si>
    <t>否</t>
  </si>
  <si>
    <t>比较法-车位</t>
  </si>
  <si>
    <t>B1043</t>
    <phoneticPr fontId="24" type="noConversion"/>
  </si>
  <si>
    <t>B1047</t>
    <phoneticPr fontId="24" type="noConversion"/>
  </si>
  <si>
    <t>B2002</t>
    <phoneticPr fontId="24" type="noConversion"/>
  </si>
  <si>
    <t>楼层</t>
    <phoneticPr fontId="3" type="noConversion"/>
  </si>
  <si>
    <t>B1</t>
    <phoneticPr fontId="24" type="noConversion"/>
  </si>
  <si>
    <t>B2</t>
  </si>
  <si>
    <t>B2</t>
    <phoneticPr fontId="24" type="noConversion"/>
  </si>
  <si>
    <t>较差</t>
  </si>
  <si>
    <t>http://bjjs.zjw.beijing.gov.cn/eportal/ui?pageId=320794&amp;projectID=6308475&amp;systemID=2&amp;srcId=1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</si>
</sst>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0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293" fillId="0" borderId="0" xfId="19">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418362</xdr:colOff>
      <xdr:row>13</xdr:row>
      <xdr:rowOff>98750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4762" cy="2476190"/>
        </a:xfrm>
        <a:prstGeom prst="rect">
          <a:avLst/>
        </a:prstGeom>
      </xdr:spPr>
    </xdr:pic>
    <xdr:clientData/>
  </xdr:twoCellAnchor>
  <xdr:twoCellAnchor editAs="oneCell">
    <xdr:from>
      <xdr:col>0</xdr:col>
      <xdr:colOff>0</xdr:colOff>
      <xdr:row>14</xdr:row>
      <xdr:rowOff>0</xdr:rowOff>
    </xdr:from>
    <xdr:to>
      <xdr:col>15</xdr:col>
      <xdr:colOff>379809</xdr:colOff>
      <xdr:row>29</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9523809" cy="2904762"/>
        </a:xfrm>
        <a:prstGeom prst="rect">
          <a:avLst/>
        </a:prstGeom>
      </xdr:spPr>
    </xdr:pic>
    <xdr:clientData/>
  </xdr:twoCellAnchor>
  <xdr:twoCellAnchor editAs="oneCell">
    <xdr:from>
      <xdr:col>0</xdr:col>
      <xdr:colOff>0</xdr:colOff>
      <xdr:row>30</xdr:row>
      <xdr:rowOff>0</xdr:rowOff>
    </xdr:from>
    <xdr:to>
      <xdr:col>6</xdr:col>
      <xdr:colOff>532876</xdr:colOff>
      <xdr:row>40</xdr:row>
      <xdr:rowOff>28343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4190476" cy="1857143"/>
        </a:xfrm>
        <a:prstGeom prst="rect">
          <a:avLst/>
        </a:prstGeom>
      </xdr:spPr>
    </xdr:pic>
    <xdr:clientData/>
  </xdr:twoCellAnchor>
  <xdr:twoCellAnchor editAs="oneCell">
    <xdr:from>
      <xdr:col>0</xdr:col>
      <xdr:colOff>0</xdr:colOff>
      <xdr:row>40</xdr:row>
      <xdr:rowOff>0</xdr:rowOff>
    </xdr:from>
    <xdr:to>
      <xdr:col>14</xdr:col>
      <xdr:colOff>608457</xdr:colOff>
      <xdr:row>60</xdr:row>
      <xdr:rowOff>161448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315200"/>
          <a:ext cx="9142857" cy="3819048"/>
        </a:xfrm>
        <a:prstGeom prst="rect">
          <a:avLst/>
        </a:prstGeom>
      </xdr:spPr>
    </xdr:pic>
    <xdr:clientData/>
  </xdr:twoCellAnchor>
  <xdr:twoCellAnchor editAs="oneCell">
    <xdr:from>
      <xdr:col>0</xdr:col>
      <xdr:colOff>0</xdr:colOff>
      <xdr:row>61</xdr:row>
      <xdr:rowOff>0</xdr:rowOff>
    </xdr:from>
    <xdr:to>
      <xdr:col>13</xdr:col>
      <xdr:colOff>113295</xdr:colOff>
      <xdr:row>74</xdr:row>
      <xdr:rowOff>3512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55680"/>
          <a:ext cx="8038095" cy="2380952"/>
        </a:xfrm>
        <a:prstGeom prst="rect">
          <a:avLst/>
        </a:prstGeom>
      </xdr:spPr>
    </xdr:pic>
    <xdr:clientData/>
  </xdr:twoCellAnchor>
  <xdr:twoCellAnchor editAs="oneCell">
    <xdr:from>
      <xdr:col>0</xdr:col>
      <xdr:colOff>0</xdr:colOff>
      <xdr:row>74</xdr:row>
      <xdr:rowOff>0</xdr:rowOff>
    </xdr:from>
    <xdr:to>
      <xdr:col>15</xdr:col>
      <xdr:colOff>236952</xdr:colOff>
      <xdr:row>94</xdr:row>
      <xdr:rowOff>104305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533120"/>
          <a:ext cx="9380952" cy="3761905"/>
        </a:xfrm>
        <a:prstGeom prst="rect">
          <a:avLst/>
        </a:prstGeom>
      </xdr:spPr>
    </xdr:pic>
    <xdr:clientData/>
  </xdr:twoCellAnchor>
  <xdr:twoCellAnchor editAs="oneCell">
    <xdr:from>
      <xdr:col>9</xdr:col>
      <xdr:colOff>350520</xdr:colOff>
      <xdr:row>0</xdr:row>
      <xdr:rowOff>0</xdr:rowOff>
    </xdr:from>
    <xdr:to>
      <xdr:col>24</xdr:col>
      <xdr:colOff>158901</xdr:colOff>
      <xdr:row>33</xdr:row>
      <xdr:rowOff>155436</xdr:rowOff>
    </xdr:to>
    <xdr:pic>
      <xdr:nvPicPr>
        <xdr:cNvPr id="5" name="图片 4"/>
        <xdr:cNvPicPr>
          <a:picLocks noChangeAspect="1"/>
        </xdr:cNvPicPr>
      </xdr:nvPicPr>
      <xdr:blipFill>
        <a:blip xmlns:r="http://schemas.openxmlformats.org/officeDocument/2006/relationships" r:embed="rId7"/>
        <a:stretch>
          <a:fillRect/>
        </a:stretch>
      </xdr:blipFill>
      <xdr:spPr>
        <a:xfrm>
          <a:off x="5836920" y="0"/>
          <a:ext cx="8952381" cy="6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bjjs.zjw.beijing.gov.cn/eportal/ui?pageId=320794&amp;projectID=6308475&amp;systemID=2&amp;srcId=1"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北京市预评估</v>
      </c>
    </row>
    <row r="3" spans="1:2" s="843" customFormat="1">
      <c r="A3" s="841" t="s">
        <v>517</v>
      </c>
      <c r="B3" s="842">
        <f>'预评函-封皮'!B40</f>
        <v>0</v>
      </c>
    </row>
    <row r="4" spans="1:2" s="843" customFormat="1">
      <c r="A4" s="841" t="s">
        <v>518</v>
      </c>
      <c r="B4" s="842" t="str">
        <f>'预评函-封皮'!B46</f>
        <v>（注册号：0)、（注册号：0)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受贵公司委托，我公司对北京市进行了预评估。</v>
      </c>
    </row>
    <row r="7" spans="1:2" s="843" customFormat="1">
      <c r="A7" s="841" t="s">
        <v>560</v>
      </c>
      <c r="B7" s="842" t="str">
        <f>'预评函-1'!A7</f>
        <v>估价对象为北京市房地产，为所有。根据《国有土地使用证》[]，估价对象（分摊）出让国有建设用地使用权面积为0平方米，建筑面积为42.16平方米。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估价对象为北京市房地产,属开发建设的，该项目尚在开发建设中。根据《国有土地使用证》[]，估价对象（分摊）出让国有建设用地使用权面积为0平方米，规划建筑面积为42.16平方米。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2026年3月12日</v>
      </c>
    </row>
    <row r="13" spans="1:2" s="843" customFormat="1">
      <c r="A13" s="841" t="s">
        <v>523</v>
      </c>
      <c r="B13" s="842"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6.2" thickBot="1">
      <c r="A18" s="844" t="s">
        <v>528</v>
      </c>
      <c r="B18" s="845" t="str">
        <f>'预评函-1'!A24</f>
        <v>本次评估采用的主估价方法为成本法和比较法。</v>
      </c>
    </row>
    <row r="19" spans="1:2" s="840" customFormat="1" ht="16.2"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12.841900000000001</v>
      </c>
    </row>
    <row r="21" spans="1:2" s="843" customFormat="1">
      <c r="A21" s="841" t="s">
        <v>531</v>
      </c>
      <c r="B21" s="842">
        <f ca="1">'预评函-2'!D7</f>
        <v>722486</v>
      </c>
    </row>
    <row r="22" spans="1:2" s="843" customFormat="1">
      <c r="A22" s="841" t="s">
        <v>532</v>
      </c>
      <c r="B22" s="842" t="str">
        <f ca="1">'预评函-2'!D6</f>
        <v>壹拾贰万捌仟肆佰壹拾玖元整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12.841900000000001</v>
      </c>
    </row>
    <row r="31" spans="1:2" s="843" customFormat="1">
      <c r="A31" s="841" t="s">
        <v>570</v>
      </c>
      <c r="B31" s="842">
        <f ca="1">'预评函-2'!D15</f>
        <v>722486</v>
      </c>
    </row>
    <row r="32" spans="1:2" s="843" customFormat="1">
      <c r="A32" s="841" t="s">
        <v>537</v>
      </c>
      <c r="B32" s="842" t="str">
        <f ca="1">'预评函-2'!D14</f>
        <v>壹拾贰万捌仟肆佰壹拾玖元整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42.16</v>
      </c>
    </row>
    <row r="44" spans="1:2" s="843" customFormat="1" ht="31.2">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估价师知悉的法定优先受偿款</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f>'预评函-4'!A4</f>
        <v>0</v>
      </c>
    </row>
    <row r="71" spans="1:2">
      <c r="A71" s="841" t="s">
        <v>557</v>
      </c>
      <c r="B71" s="842">
        <f>'预评函-4'!B4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7"/>
      <c r="B54" s="1160" t="s">
        <v>379</v>
      </c>
      <c r="C54" s="1157" t="s">
        <v>577</v>
      </c>
    </row>
    <row r="55" spans="1:4">
      <c r="A55" s="4687"/>
      <c r="B55" s="1160" t="s">
        <v>380</v>
      </c>
      <c r="C55" s="1157" t="s">
        <v>578</v>
      </c>
    </row>
    <row r="56" spans="1:4">
      <c r="A56" s="4687"/>
      <c r="B56" s="1160" t="s">
        <v>381</v>
      </c>
      <c r="C56" s="1157" t="s">
        <v>582</v>
      </c>
    </row>
    <row r="57" spans="1:4">
      <c r="A57" s="468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88" t="s">
        <v>2467</v>
      </c>
      <c r="J2" s="4689"/>
      <c r="K2" s="4689"/>
      <c r="L2" s="4689"/>
      <c r="M2" s="4689"/>
      <c r="N2" s="4689"/>
      <c r="O2" s="4689"/>
      <c r="P2" s="4689"/>
      <c r="Q2" s="4689"/>
      <c r="R2" s="4690"/>
    </row>
    <row r="3" spans="1:19">
      <c r="A3" s="2384" t="s">
        <v>2388</v>
      </c>
      <c r="B3" s="2385">
        <f>项目基本情况!D3</f>
        <v>46093</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0">
        <v>80</v>
      </c>
      <c r="K4" s="4330">
        <v>70</v>
      </c>
      <c r="L4" s="4330">
        <v>20</v>
      </c>
      <c r="M4" s="4330">
        <v>30</v>
      </c>
      <c r="N4" s="3778">
        <v>45</v>
      </c>
      <c r="O4" s="3778">
        <v>60</v>
      </c>
      <c r="P4" s="3778">
        <v>50</v>
      </c>
      <c r="Q4" s="3778">
        <v>20</v>
      </c>
      <c r="R4" s="4331">
        <v>375</v>
      </c>
    </row>
    <row r="5" spans="1:19">
      <c r="A5" s="3777">
        <v>40</v>
      </c>
      <c r="B5" s="2385">
        <v>46375</v>
      </c>
      <c r="C5" s="3778">
        <f>ROUNDDOWN(MIN((B5-B3)/365,A5),2)</f>
        <v>0.77</v>
      </c>
      <c r="D5" s="3779">
        <f>IF(ISERROR(ROUND(POWER(1+E5,A5-C5)*(POWER(1+E5,C5)-1)/(POWER(1+E5,A5)-1),3)),0,ROUND(POWER(1+E5,A5-C5)*(POWER(1+E5,C5)-1)/(POWER(1+E5,A5)-1),4))</f>
        <v>3.7600000000000001E-2</v>
      </c>
      <c r="E5" s="3780">
        <v>0.04</v>
      </c>
      <c r="F5" s="2383"/>
      <c r="I5" s="3757" t="s">
        <v>2469</v>
      </c>
      <c r="J5" s="4330">
        <v>70</v>
      </c>
      <c r="K5" s="4330">
        <v>60</v>
      </c>
      <c r="L5" s="4330">
        <v>15</v>
      </c>
      <c r="M5" s="4330">
        <v>25</v>
      </c>
      <c r="N5" s="3778">
        <v>40</v>
      </c>
      <c r="O5" s="3778">
        <v>50</v>
      </c>
      <c r="P5" s="3778">
        <v>40</v>
      </c>
      <c r="Q5" s="3778">
        <v>15</v>
      </c>
      <c r="R5" s="4331">
        <v>315</v>
      </c>
    </row>
    <row r="6" spans="1:19" ht="15" thickBot="1">
      <c r="A6" s="3777">
        <v>50</v>
      </c>
      <c r="B6" s="2385">
        <v>50028</v>
      </c>
      <c r="C6" s="3778">
        <f>ROUNDDOWN(MIN((B6-B3)/365,A6),2)</f>
        <v>10.78</v>
      </c>
      <c r="D6" s="3779">
        <f>IF(ISERROR(ROUND(POWER(1+E6,A6-C6)*(POWER(1+E6,C6)-1)/(POWER(1+E6,A6)-1),3)),0,ROUND(POWER(1+E6,A6-C6)*(POWER(1+E6,C6)-1)/(POWER(1+E6,A6)-1),4))</f>
        <v>0.40129999999999999</v>
      </c>
      <c r="E6" s="3780">
        <v>0.04</v>
      </c>
      <c r="F6" s="2383"/>
      <c r="I6" s="3759" t="s">
        <v>2470</v>
      </c>
      <c r="J6" s="4332">
        <v>60</v>
      </c>
      <c r="K6" s="4332">
        <v>50</v>
      </c>
      <c r="L6" s="4332">
        <v>10</v>
      </c>
      <c r="M6" s="4332">
        <v>20</v>
      </c>
      <c r="N6" s="4333">
        <v>35</v>
      </c>
      <c r="O6" s="4333">
        <v>40</v>
      </c>
      <c r="P6" s="4333">
        <v>30</v>
      </c>
      <c r="Q6" s="4333">
        <v>10</v>
      </c>
      <c r="R6" s="4334">
        <v>255</v>
      </c>
    </row>
    <row r="7" spans="1:19">
      <c r="A7" s="3777">
        <v>70</v>
      </c>
      <c r="B7" s="2385">
        <v>57333</v>
      </c>
      <c r="C7" s="3778">
        <f>ROUNDDOWN(MIN((B7-B3)/365,A7),2)</f>
        <v>30.79</v>
      </c>
      <c r="D7" s="3779">
        <f>IF(ISERROR(ROUND(POWER(1+E7,A7-C7)*(POWER(1+E7,C7)-1)/(POWER(1+E7,A7)-1),3)),0,ROUND(POWER(1+E7,A7-C7)*(POWER(1+E7,C7)-1)/(POWER(1+E7,A7)-1),4))</f>
        <v>0.74919999999999998</v>
      </c>
      <c r="E7" s="3780">
        <v>0.04</v>
      </c>
      <c r="F7" s="2383"/>
      <c r="I7" s="3760" t="s">
        <v>3667</v>
      </c>
      <c r="J7" s="3761" t="s">
        <v>3669</v>
      </c>
      <c r="K7" s="3762">
        <v>3.5</v>
      </c>
      <c r="L7" s="3763"/>
      <c r="M7" s="3756"/>
      <c r="N7" s="2378"/>
      <c r="O7" s="2378"/>
      <c r="P7" s="2378"/>
      <c r="Q7" s="2378"/>
      <c r="R7" s="2379"/>
    </row>
    <row r="8" spans="1:19" ht="15" thickBot="1">
      <c r="A8" s="2381"/>
      <c r="B8" s="2382"/>
      <c r="C8" s="2382"/>
      <c r="D8" s="2382"/>
      <c r="E8" s="2382"/>
      <c r="F8" s="2383"/>
      <c r="I8" s="4688" t="s">
        <v>3668</v>
      </c>
      <c r="J8" s="4689"/>
      <c r="K8" s="4689"/>
      <c r="L8" s="4689"/>
      <c r="M8" s="4689"/>
      <c r="N8" s="4689"/>
      <c r="O8" s="4689"/>
      <c r="P8" s="4689"/>
      <c r="Q8" s="4689"/>
      <c r="R8" s="4690"/>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93" t="s">
        <v>3870</v>
      </c>
    </row>
    <row r="10" spans="1:19">
      <c r="A10" s="2384" t="s">
        <v>2395</v>
      </c>
      <c r="B10" s="2386"/>
      <c r="C10" s="2386"/>
      <c r="D10" s="2386" t="s">
        <v>2393</v>
      </c>
      <c r="E10" s="2386"/>
      <c r="F10" s="2387" t="s">
        <v>2392</v>
      </c>
      <c r="I10" s="3757" t="s">
        <v>2468</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4"/>
    </row>
    <row r="11" spans="1:19">
      <c r="A11" s="3783" t="s">
        <v>2396</v>
      </c>
      <c r="B11" s="3781">
        <v>70</v>
      </c>
      <c r="C11" s="3784" t="s">
        <v>2397</v>
      </c>
      <c r="D11" s="3780">
        <v>4.4999999999999998E-2</v>
      </c>
      <c r="E11" s="3784" t="s">
        <v>2398</v>
      </c>
      <c r="F11" s="3782">
        <f>ROUND(1-(1/(POWER(1+D11,B11))),4)</f>
        <v>0.95409999999999995</v>
      </c>
      <c r="I11" s="3757" t="s">
        <v>2469</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4"/>
    </row>
    <row r="12" spans="1:19" ht="15" thickBot="1">
      <c r="A12" s="3783" t="s">
        <v>2399</v>
      </c>
      <c r="B12" s="3781">
        <v>40</v>
      </c>
      <c r="C12" s="3784" t="s">
        <v>2400</v>
      </c>
      <c r="D12" s="3780">
        <v>4.4999999999999998E-2</v>
      </c>
      <c r="E12" s="3784" t="s">
        <v>2401</v>
      </c>
      <c r="F12" s="3782">
        <f>ROUND(1-(1/(POWER(1+D12,B12))),4)</f>
        <v>0.82809999999999995</v>
      </c>
      <c r="I12" s="3764" t="s">
        <v>2470</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4"/>
    </row>
    <row r="13" spans="1:19">
      <c r="A13" s="2384" t="s">
        <v>2402</v>
      </c>
      <c r="B13" s="2386"/>
      <c r="C13" s="2386"/>
      <c r="D13" s="2382"/>
      <c r="E13" s="2382"/>
      <c r="F13" s="2383"/>
      <c r="I13" s="3755" t="s">
        <v>3670</v>
      </c>
      <c r="J13" s="3767">
        <v>2.5</v>
      </c>
      <c r="K13" s="3756" t="s">
        <v>3671</v>
      </c>
      <c r="L13" s="3768">
        <v>0.92630000000000001</v>
      </c>
      <c r="M13" s="3756"/>
      <c r="N13" s="2378"/>
      <c r="O13" s="2378"/>
      <c r="P13" s="2378"/>
      <c r="Q13" s="2378"/>
      <c r="R13" s="2379"/>
      <c r="S13" s="4694"/>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94"/>
    </row>
    <row r="15" spans="1:19">
      <c r="A15" s="3783" t="s">
        <v>2404</v>
      </c>
      <c r="B15" s="3787">
        <f>ROUND(B14*F12/F11,2)</f>
        <v>4339.6899999999996</v>
      </c>
      <c r="C15" s="3779">
        <f>ROUND(F12/F11,4)</f>
        <v>0.8679</v>
      </c>
      <c r="D15" s="2382"/>
      <c r="E15" s="2382"/>
      <c r="F15" s="2383"/>
      <c r="I15" s="3757" t="s">
        <v>2468</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4"/>
    </row>
    <row r="16" spans="1:19">
      <c r="A16" s="2384" t="s">
        <v>2405</v>
      </c>
      <c r="B16" s="2834"/>
      <c r="C16" s="2834"/>
      <c r="D16" s="2382"/>
      <c r="E16" s="2382"/>
      <c r="F16" s="2383"/>
      <c r="I16" s="3757" t="s">
        <v>2469</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4"/>
    </row>
    <row r="17" spans="1:19" ht="15" thickBot="1">
      <c r="A17" s="3783" t="s">
        <v>2404</v>
      </c>
      <c r="B17" s="3788">
        <v>4810</v>
      </c>
      <c r="C17" s="3786"/>
      <c r="D17" s="2382"/>
      <c r="E17" s="2382"/>
      <c r="F17" s="2383"/>
      <c r="I17" s="3759" t="s">
        <v>2470</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5"/>
    </row>
    <row r="18" spans="1:19" ht="15" thickBot="1">
      <c r="A18" s="3789" t="s">
        <v>2403</v>
      </c>
      <c r="B18" s="3790">
        <f>ROUND(B17*F11/F12,2)</f>
        <v>5541.87</v>
      </c>
      <c r="C18" s="3791">
        <f>ROUND(F11/F12,4)</f>
        <v>1.1521999999999999</v>
      </c>
      <c r="D18" s="2388"/>
      <c r="E18" s="2388"/>
      <c r="F18" s="2389"/>
    </row>
    <row r="19" spans="1:19" s="3770" customFormat="1" ht="1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0"/>
      <c r="O48" s="3770"/>
    </row>
    <row r="49" spans="1:16" s="4329" customFormat="1" ht="15.6" thickTop="1" thickBot="1">
      <c r="A49" s="4327" t="s">
        <v>3347</v>
      </c>
      <c r="B49" s="4328"/>
      <c r="C49" s="4328"/>
      <c r="D49" s="4328"/>
      <c r="E49" s="4328"/>
      <c r="I49" s="4691" t="s">
        <v>3978</v>
      </c>
      <c r="J49" s="4691"/>
      <c r="K49" s="4691"/>
      <c r="L49" s="4691"/>
      <c r="M49" s="4691"/>
      <c r="N49" s="2388"/>
      <c r="O49" s="2388"/>
    </row>
    <row r="50" spans="1:16">
      <c r="A50" s="2847" t="s">
        <v>3348</v>
      </c>
      <c r="B50" s="2851" t="s">
        <v>3349</v>
      </c>
      <c r="C50" s="2854" t="s">
        <v>3350</v>
      </c>
      <c r="D50" s="2855" t="s">
        <v>3358</v>
      </c>
      <c r="E50" s="2856" t="s">
        <v>3357</v>
      </c>
      <c r="F50" s="2857" t="s">
        <v>3364</v>
      </c>
      <c r="I50" s="4465" t="s">
        <v>3359</v>
      </c>
      <c r="J50" s="4466" t="s">
        <v>3360</v>
      </c>
      <c r="K50" s="4466" t="s">
        <v>3361</v>
      </c>
      <c r="L50" s="4466" t="s">
        <v>3362</v>
      </c>
      <c r="M50" s="4467" t="s">
        <v>3363</v>
      </c>
      <c r="N50" s="4474" t="s">
        <v>3974</v>
      </c>
      <c r="O50" s="4467" t="s">
        <v>3975</v>
      </c>
    </row>
    <row r="51" spans="1:16">
      <c r="A51" s="2849" t="s">
        <v>3823</v>
      </c>
      <c r="B51" s="2852">
        <f>B52+B53</f>
        <v>9993</v>
      </c>
      <c r="C51" s="2852">
        <f>E51/B51</f>
        <v>3673.221254878415</v>
      </c>
      <c r="D51" s="2861"/>
      <c r="E51" s="2864">
        <f>E52+E53</f>
        <v>36706500</v>
      </c>
      <c r="F51" s="4289">
        <f>E51/$E$62</f>
        <v>0.45145729385019301</v>
      </c>
      <c r="I51" s="3757"/>
      <c r="J51" s="2708"/>
      <c r="K51" s="2708"/>
      <c r="L51" s="2708"/>
      <c r="M51" s="4468"/>
      <c r="N51" s="4475"/>
      <c r="O51" s="4476"/>
    </row>
    <row r="52" spans="1:16">
      <c r="A52" s="2848" t="s">
        <v>3351</v>
      </c>
      <c r="B52" s="2840">
        <v>5508</v>
      </c>
      <c r="C52" s="2860"/>
      <c r="D52" s="2842">
        <v>3000</v>
      </c>
      <c r="E52" s="2863">
        <f>D52*B52</f>
        <v>16524000</v>
      </c>
      <c r="F52" s="2858"/>
      <c r="G52" s="2839" t="s">
        <v>3824</v>
      </c>
      <c r="H52" s="2839"/>
      <c r="I52" s="4469">
        <f>E52</f>
        <v>16524000</v>
      </c>
      <c r="J52" s="2845">
        <f>E55</f>
        <v>9914400</v>
      </c>
      <c r="K52" s="2845">
        <f>E58</f>
        <v>24786000</v>
      </c>
      <c r="L52" s="2845">
        <f>E60*B52/B51</f>
        <v>1735020.0000000005</v>
      </c>
      <c r="M52" s="4470">
        <f>E61*B52/B51</f>
        <v>878727.40330231166</v>
      </c>
      <c r="N52" s="4477">
        <f>SUM(I52:M52)</f>
        <v>53838147.403302312</v>
      </c>
      <c r="O52" s="4470">
        <f>N52/B52</f>
        <v>9774.5365655959176</v>
      </c>
      <c r="P52" s="4294" t="s">
        <v>3976</v>
      </c>
    </row>
    <row r="53" spans="1:16" ht="15" thickBot="1">
      <c r="A53" s="2848" t="s">
        <v>3352</v>
      </c>
      <c r="B53" s="2840">
        <v>4485</v>
      </c>
      <c r="C53" s="2860"/>
      <c r="D53" s="2842">
        <v>4500</v>
      </c>
      <c r="E53" s="2863">
        <f>D53*B53</f>
        <v>20182500</v>
      </c>
      <c r="F53" s="2858"/>
      <c r="G53" s="2839" t="s">
        <v>3825</v>
      </c>
      <c r="H53" s="2839"/>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3977</v>
      </c>
    </row>
    <row r="54" spans="1:16">
      <c r="A54" s="2849" t="s">
        <v>3353</v>
      </c>
      <c r="B54" s="2852">
        <f>B51</f>
        <v>9993</v>
      </c>
      <c r="C54" s="2852">
        <f>E54/B54</f>
        <v>1283.8637045932153</v>
      </c>
      <c r="D54" s="4290"/>
      <c r="E54" s="2864">
        <f>E55+E56</f>
        <v>12829650</v>
      </c>
      <c r="F54" s="4289">
        <f>E54/$E$62</f>
        <v>0.15779328102775064</v>
      </c>
      <c r="G54" s="2839"/>
      <c r="H54" s="2839"/>
    </row>
    <row r="55" spans="1:16">
      <c r="A55" s="2848" t="s">
        <v>3821</v>
      </c>
      <c r="B55" s="4288">
        <f>B52</f>
        <v>5508</v>
      </c>
      <c r="C55" s="2852"/>
      <c r="D55" s="4291">
        <v>1800</v>
      </c>
      <c r="E55" s="2863">
        <f>D55*B55</f>
        <v>9914400</v>
      </c>
      <c r="F55" s="2858"/>
      <c r="G55" s="2839" t="s">
        <v>3826</v>
      </c>
      <c r="H55" s="2839"/>
    </row>
    <row r="56" spans="1:16">
      <c r="A56" s="2848" t="s">
        <v>3822</v>
      </c>
      <c r="B56" s="4288">
        <f>B53</f>
        <v>4485</v>
      </c>
      <c r="C56" s="2852"/>
      <c r="D56" s="4291">
        <v>650</v>
      </c>
      <c r="E56" s="2863">
        <f>D56*B56</f>
        <v>2915250</v>
      </c>
      <c r="F56" s="2858"/>
      <c r="G56" s="2839" t="s">
        <v>3827</v>
      </c>
      <c r="H56" s="2839"/>
    </row>
    <row r="57" spans="1:16">
      <c r="A57" s="4287" t="s">
        <v>3820</v>
      </c>
      <c r="B57" s="2852">
        <f>B51</f>
        <v>9993</v>
      </c>
      <c r="C57" s="2852">
        <f>E57/B57</f>
        <v>2704.7433203242272</v>
      </c>
      <c r="D57" s="4290"/>
      <c r="E57" s="2864">
        <f>E58+E59</f>
        <v>27028500</v>
      </c>
      <c r="F57" s="2858">
        <f>E57/$E$62</f>
        <v>0.33242650393881035</v>
      </c>
      <c r="G57" s="2839"/>
      <c r="H57" s="2839"/>
      <c r="I57" s="4692" t="s">
        <v>3365</v>
      </c>
      <c r="J57" s="4692"/>
      <c r="K57" s="4692"/>
      <c r="L57" s="4692"/>
      <c r="M57" s="4692"/>
      <c r="N57" s="4464"/>
    </row>
    <row r="58" spans="1:16">
      <c r="A58" s="2848" t="s">
        <v>3821</v>
      </c>
      <c r="B58" s="4288">
        <f>B52</f>
        <v>5508</v>
      </c>
      <c r="C58" s="4306">
        <v>4500</v>
      </c>
      <c r="D58" s="4307"/>
      <c r="E58" s="2863">
        <f>C58*B58</f>
        <v>24786000</v>
      </c>
      <c r="F58" s="2858"/>
      <c r="G58" s="2839"/>
      <c r="H58" s="2839"/>
      <c r="I58" s="2845">
        <f>I52+I53</f>
        <v>36706500</v>
      </c>
      <c r="J58" s="2845">
        <f t="shared" ref="J58:M58" si="10">J52+J53</f>
        <v>12829650</v>
      </c>
      <c r="K58" s="2845">
        <f t="shared" si="10"/>
        <v>27028500</v>
      </c>
      <c r="L58" s="2845">
        <f t="shared" si="10"/>
        <v>3147795.0000000005</v>
      </c>
      <c r="M58" s="4295">
        <f t="shared" si="10"/>
        <v>1594248.9000000001</v>
      </c>
      <c r="N58" s="4295">
        <f>SUM(I58:M58)</f>
        <v>81306693.900000006</v>
      </c>
    </row>
    <row r="59" spans="1:16">
      <c r="A59" s="2848" t="s">
        <v>3822</v>
      </c>
      <c r="B59" s="4288">
        <f>B53</f>
        <v>4485</v>
      </c>
      <c r="C59" s="4306">
        <v>500</v>
      </c>
      <c r="D59" s="4307"/>
      <c r="E59" s="2863">
        <f>C59*B59</f>
        <v>2242500</v>
      </c>
      <c r="F59" s="2858"/>
      <c r="G59" s="2839" t="s">
        <v>3836</v>
      </c>
      <c r="H59" s="2839"/>
      <c r="I59" s="2846">
        <f>I58/$E$62</f>
        <v>0.45145729385019301</v>
      </c>
      <c r="J59" s="2846">
        <f t="shared" ref="J59:M59" si="11">J58/$E$62</f>
        <v>0.15779328102775064</v>
      </c>
      <c r="K59" s="2846">
        <f t="shared" si="11"/>
        <v>0.33242650393881035</v>
      </c>
      <c r="L59" s="2846">
        <f t="shared" si="11"/>
        <v>3.8715078045990996E-2</v>
      </c>
      <c r="M59" s="4296">
        <f t="shared" si="11"/>
        <v>1.9607843137254902E-2</v>
      </c>
      <c r="N59" s="4296">
        <f>SUM(I59:M59)</f>
        <v>0.99999999999999989</v>
      </c>
    </row>
    <row r="60" spans="1:16">
      <c r="A60" s="2849" t="s">
        <v>3355</v>
      </c>
      <c r="B60" s="2841">
        <f>B51*0.07</f>
        <v>699.5100000000001</v>
      </c>
      <c r="C60" s="2852">
        <f>E60/B51</f>
        <v>315.00000000000006</v>
      </c>
      <c r="D60" s="4293">
        <f>D53</f>
        <v>4500</v>
      </c>
      <c r="E60" s="2864">
        <f>D60*B60</f>
        <v>3147795.0000000005</v>
      </c>
      <c r="F60" s="2858">
        <f>E60/$E$62</f>
        <v>3.8715078045990996E-2</v>
      </c>
      <c r="G60" s="4309">
        <f>B60/(B62+B60)</f>
        <v>6.5420560747663559E-2</v>
      </c>
      <c r="H60" s="4308" t="s">
        <v>3837</v>
      </c>
    </row>
    <row r="61" spans="1:16">
      <c r="A61" s="2849" t="s">
        <v>3354</v>
      </c>
      <c r="B61" s="4292">
        <f>B51</f>
        <v>9993</v>
      </c>
      <c r="C61" s="2852">
        <f>E61/B61</f>
        <v>159.53656559591715</v>
      </c>
      <c r="D61" s="2843">
        <v>0.02</v>
      </c>
      <c r="E61" s="2864">
        <f>(E51+E54+E57+E60)*D61</f>
        <v>1594248.9000000001</v>
      </c>
      <c r="F61" s="2858">
        <f>E61/$E$62</f>
        <v>1.9607843137254902E-2</v>
      </c>
      <c r="G61" s="2839" t="s">
        <v>3828</v>
      </c>
    </row>
    <row r="62" spans="1:16" ht="15" thickBot="1">
      <c r="A62" s="2850" t="s">
        <v>3356</v>
      </c>
      <c r="B62" s="2853">
        <f>B51</f>
        <v>9993</v>
      </c>
      <c r="C62" s="2862">
        <f>C51+C54+C57+C61+C60</f>
        <v>8136.364845391774</v>
      </c>
      <c r="D62" s="3797">
        <f>E62/B62</f>
        <v>8136.3648453917749</v>
      </c>
      <c r="E62" s="2844">
        <f>E51+E54+E57+E61+E60</f>
        <v>81306693.900000006</v>
      </c>
      <c r="F62" s="2859">
        <f>F51+F54+F57+F60+F61</f>
        <v>0.99999999999999989</v>
      </c>
      <c r="G62" s="4294"/>
    </row>
    <row r="63" spans="1:16">
      <c r="B63" s="2838"/>
      <c r="C63" s="2838"/>
      <c r="D63" s="2838"/>
    </row>
    <row r="65" spans="1:4" ht="15" thickBot="1">
      <c r="B65" s="2838"/>
      <c r="C65" s="2838"/>
      <c r="D65" s="2838"/>
    </row>
    <row r="66" spans="1:4">
      <c r="A66" s="4298" t="s">
        <v>3829</v>
      </c>
      <c r="B66" s="4299"/>
      <c r="C66" s="4299"/>
      <c r="D66" s="4300"/>
    </row>
    <row r="67" spans="1:4">
      <c r="A67" s="4301" t="s">
        <v>3832</v>
      </c>
      <c r="B67" s="4297"/>
      <c r="C67" s="4297"/>
      <c r="D67" s="4304" t="s">
        <v>3834</v>
      </c>
    </row>
    <row r="68" spans="1:4">
      <c r="A68" s="4301" t="s">
        <v>3833</v>
      </c>
      <c r="B68" s="4297"/>
      <c r="C68" s="4297"/>
      <c r="D68" s="4304" t="s">
        <v>3835</v>
      </c>
    </row>
    <row r="69" spans="1:4" ht="15" thickBot="1">
      <c r="A69" s="4302" t="s">
        <v>3830</v>
      </c>
      <c r="B69" s="4303"/>
      <c r="C69" s="4303"/>
      <c r="D69" s="4305"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2" sqref="H22"/>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2070</v>
      </c>
      <c r="B1" s="4703" t="str">
        <f>IF(B10="北京市","北京市",C10)&amp;F10&amp;IF(结果表!G1="在建","出让国有建设用地使用权及在建建筑物",IF(结果表!G1="土地","出让国有建设用地使用权",))&amp;B9&amp;"预评估"</f>
        <v>北京市预评估</v>
      </c>
      <c r="C1" s="4704"/>
      <c r="D1" s="4704"/>
      <c r="E1" s="4704"/>
      <c r="F1" s="4704"/>
      <c r="G1" s="4704"/>
      <c r="H1" s="4704"/>
      <c r="I1" s="470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c r="C3" s="1866" t="s">
        <v>2073</v>
      </c>
      <c r="D3" s="1865">
        <v>46093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4066</v>
      </c>
      <c r="C8" s="1882"/>
      <c r="D8" s="4706" t="s">
        <v>2079</v>
      </c>
      <c r="E8" s="1883"/>
      <c r="F8" s="1884"/>
      <c r="G8" s="2096"/>
      <c r="H8" s="2096"/>
      <c r="I8" s="2096"/>
      <c r="J8" s="1926"/>
      <c r="K8" s="2049"/>
      <c r="L8" s="2048"/>
      <c r="M8" s="2048"/>
      <c r="N8" s="1926"/>
      <c r="O8" s="1937"/>
      <c r="P8" s="1926"/>
      <c r="Q8" s="1926"/>
      <c r="R8" s="1926"/>
    </row>
    <row r="9" spans="1:30" ht="13.8" thickBot="1">
      <c r="A9" s="1885" t="s">
        <v>2080</v>
      </c>
      <c r="B9" s="1886"/>
      <c r="C9" s="1887"/>
      <c r="D9" s="4707"/>
      <c r="E9" s="1886"/>
      <c r="F9" s="1888"/>
      <c r="G9" s="2098"/>
      <c r="H9" s="2098"/>
      <c r="I9" s="2098"/>
      <c r="J9" s="1926"/>
      <c r="K9" s="2051"/>
      <c r="L9" s="2048"/>
      <c r="M9" s="2048"/>
      <c r="N9" s="1926"/>
      <c r="O9" s="1937"/>
      <c r="P9" s="1926"/>
      <c r="Q9" s="1926"/>
      <c r="R9" s="1926"/>
    </row>
    <row r="10" spans="1:30" ht="13.8" thickTop="1">
      <c r="A10" s="1889" t="s">
        <v>2081</v>
      </c>
      <c r="B10" s="3673" t="s">
        <v>4067</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4068</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v>68364</v>
      </c>
      <c r="D13" s="579"/>
      <c r="E13" s="579"/>
      <c r="F13" s="579">
        <v>61059</v>
      </c>
      <c r="G13" s="579"/>
      <c r="H13" s="579"/>
      <c r="I13" s="579"/>
      <c r="J13" s="2415"/>
      <c r="K13" s="2048"/>
      <c r="L13" s="2048"/>
      <c r="M13" s="1926"/>
      <c r="N13" s="1937"/>
      <c r="O13" s="1926"/>
      <c r="P13" s="1926"/>
      <c r="Q13" s="1926"/>
      <c r="AD13" s="1334"/>
    </row>
    <row r="14" spans="1:30">
      <c r="A14" s="756"/>
      <c r="B14" s="1897" t="s">
        <v>2093</v>
      </c>
      <c r="C14" s="1898">
        <v>70</v>
      </c>
      <c r="D14" s="1898"/>
      <c r="E14" s="1898"/>
      <c r="F14" s="1898">
        <v>50</v>
      </c>
      <c r="G14" s="1898"/>
      <c r="H14" s="1898"/>
      <c r="I14" s="1898"/>
      <c r="J14" s="2416"/>
      <c r="K14" s="2048"/>
      <c r="L14" s="2048"/>
      <c r="M14" s="1926"/>
      <c r="N14" s="1937"/>
      <c r="O14" s="1926"/>
      <c r="P14" s="1926"/>
      <c r="Q14" s="1926"/>
      <c r="AD14" s="1334"/>
    </row>
    <row r="15" spans="1:30">
      <c r="A15" s="207"/>
      <c r="B15" s="1899" t="s">
        <v>2094</v>
      </c>
      <c r="C15" s="3899">
        <f>IF(A13="出让",IF(C13="","",ROUNDDOWN(MIN((C13-$D$3)/365,C14),2)),C14)</f>
        <v>61.01</v>
      </c>
      <c r="D15" s="3899" t="str">
        <f>IF(A13="出让",IF(D13="","",ROUNDDOWN(MIN((D13-$D$3)/365,D14),2)),D14)</f>
        <v/>
      </c>
      <c r="E15" s="3899" t="str">
        <f>IF(A13="出让",IF(E13="","",ROUNDDOWN(MIN((E13-$D$3)/365,E14),2)),E14)</f>
        <v/>
      </c>
      <c r="F15" s="3899">
        <f>IF(A13="出让",IF(F13="","",ROUNDDOWN(MIN((F13-$D$3)/365,F14),2)),F14)</f>
        <v>41</v>
      </c>
      <c r="G15" s="3899" t="str">
        <f>IF(A13="出让",IF(G13="","",ROUNDDOWN(MIN((G13-$D$3)/365,G14),2)),G14)</f>
        <v/>
      </c>
      <c r="H15" s="3899" t="str">
        <f>IF(A13="出让",IF(H13="","",ROUNDDOWN(MIN((H13-$D$3)/365,H14),2)),H14)</f>
        <v/>
      </c>
      <c r="I15" s="3899" t="str">
        <f>IF(A13="出让",IF(I13="","",ROUNDDOWN(MIN((I13-$D$3)/365,I14),2)),I14)</f>
        <v/>
      </c>
      <c r="J15" s="2417"/>
      <c r="K15" s="1938"/>
      <c r="L15" s="1938"/>
      <c r="M15" s="1996"/>
      <c r="N15" s="1938"/>
      <c r="O15" s="1996"/>
      <c r="P15" s="1926"/>
      <c r="Q15" s="1926"/>
      <c r="AD15" s="1334"/>
    </row>
    <row r="16" spans="1:30">
      <c r="A16" s="1891" t="s">
        <v>2095</v>
      </c>
      <c r="B16" s="4713"/>
      <c r="C16" s="4714"/>
      <c r="D16" s="4715"/>
      <c r="E16" s="1902" t="s">
        <v>2096</v>
      </c>
      <c r="F16" s="4716"/>
      <c r="G16" s="4717"/>
      <c r="H16" s="4717"/>
      <c r="I16" s="4718"/>
      <c r="J16" s="1926"/>
      <c r="K16" s="2052"/>
      <c r="L16" s="1938"/>
      <c r="M16" s="1938"/>
      <c r="N16" s="1996"/>
      <c r="O16" s="1938"/>
      <c r="P16" s="1996"/>
      <c r="Q16" s="1926"/>
      <c r="R16" s="1926"/>
    </row>
    <row r="17" spans="1:28">
      <c r="A17" s="201" t="s">
        <v>2097</v>
      </c>
      <c r="B17" s="190" t="s">
        <v>2098</v>
      </c>
      <c r="C17" s="9">
        <f>'数据-汇总表'!E3</f>
        <v>42.16</v>
      </c>
      <c r="D17" s="1818" t="s">
        <v>2099</v>
      </c>
      <c r="E17" s="4719" t="s">
        <v>2100</v>
      </c>
      <c r="F17" s="4720"/>
      <c r="G17" s="4720"/>
      <c r="H17" s="4720"/>
      <c r="I17" s="4721"/>
      <c r="J17" s="1926"/>
      <c r="K17" s="2053"/>
      <c r="L17" s="1938"/>
      <c r="M17" s="1938"/>
      <c r="N17" s="1996"/>
      <c r="O17" s="1938"/>
      <c r="P17" s="1996"/>
      <c r="Q17" s="1926"/>
      <c r="R17" s="1926"/>
      <c r="S17" s="1926"/>
      <c r="T17" s="1926"/>
      <c r="U17" s="1926"/>
      <c r="V17" s="1926"/>
    </row>
    <row r="18" spans="1:28" ht="24.6" thickBot="1">
      <c r="A18" s="1903" t="s">
        <v>2101</v>
      </c>
      <c r="B18" s="765" t="s">
        <v>2102</v>
      </c>
      <c r="C18" s="2833">
        <f>'数据-汇总表'!D3</f>
        <v>0</v>
      </c>
      <c r="D18" s="767" t="s">
        <v>2103</v>
      </c>
      <c r="E18" s="4722" t="s">
        <v>2104</v>
      </c>
      <c r="F18" s="4723"/>
      <c r="G18" s="4723"/>
      <c r="H18" s="4723"/>
      <c r="I18" s="4724"/>
      <c r="J18" s="1926"/>
      <c r="K18" s="2053"/>
      <c r="L18" s="1938"/>
      <c r="M18" s="1938"/>
      <c r="N18" s="1996"/>
      <c r="O18" s="1938"/>
      <c r="P18" s="1996"/>
      <c r="Q18" s="1926"/>
      <c r="R18" s="1926"/>
      <c r="S18" s="1926"/>
      <c r="T18" s="1926"/>
      <c r="U18" s="1926"/>
      <c r="V18" s="1926"/>
    </row>
    <row r="19" spans="1:28" ht="37.200000000000003"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709" t="s">
        <v>2108</v>
      </c>
      <c r="C20" s="4710"/>
      <c r="D20" s="4711" t="s">
        <v>2109</v>
      </c>
      <c r="E20" s="4712"/>
      <c r="F20" s="2082" t="s">
        <v>1040</v>
      </c>
      <c r="G20" s="2097"/>
      <c r="H20" s="2097"/>
      <c r="I20" s="2097"/>
      <c r="J20" s="1926"/>
      <c r="K20" s="4708"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2111</v>
      </c>
      <c r="C21" s="2069" t="s">
        <v>1041</v>
      </c>
      <c r="D21" s="1173" t="s">
        <v>2112</v>
      </c>
      <c r="E21" s="2070" t="s">
        <v>1041</v>
      </c>
      <c r="F21" s="2083"/>
      <c r="G21" s="2097"/>
      <c r="H21" s="2097"/>
      <c r="I21" s="2097"/>
      <c r="J21" s="1926"/>
      <c r="K21" s="470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2113</v>
      </c>
      <c r="C22" s="2069" t="s">
        <v>1042</v>
      </c>
      <c r="D22" s="2096"/>
      <c r="E22" s="2096"/>
      <c r="F22" s="2096"/>
      <c r="G22" s="2097"/>
      <c r="H22" s="2097"/>
      <c r="I22" s="2097"/>
      <c r="J22" s="1926"/>
      <c r="K22" s="470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697" t="s">
        <v>2116</v>
      </c>
      <c r="B27" s="207" t="s">
        <v>2117</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7"/>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7"/>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8"/>
      <c r="B30" s="190" t="s">
        <v>2120</v>
      </c>
      <c r="C30" s="4699"/>
      <c r="D30" s="4700"/>
      <c r="E30" s="2097"/>
      <c r="F30" s="2097"/>
      <c r="G30" s="2097"/>
      <c r="H30" s="2097"/>
      <c r="I30" s="2097"/>
      <c r="J30" s="1926"/>
      <c r="K30" s="2051"/>
      <c r="L30" s="2048"/>
      <c r="M30" s="2048"/>
      <c r="N30" s="1926"/>
      <c r="O30" s="1937"/>
      <c r="P30" s="1926"/>
      <c r="Q30" s="1926"/>
      <c r="R30" s="1926"/>
      <c r="S30" s="1926"/>
      <c r="T30" s="1926"/>
      <c r="U30" s="1926"/>
      <c r="V30" s="1926"/>
    </row>
    <row r="31" spans="1:28">
      <c r="A31" s="4701" t="s">
        <v>2121</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02"/>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02"/>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696" t="s">
        <v>2130</v>
      </c>
      <c r="T34" s="1915" t="str">
        <f>NUMBERSTRING(7-K34,1)&amp;"通"</f>
        <v>七通</v>
      </c>
      <c r="U34" s="1926"/>
      <c r="V34" s="1926"/>
    </row>
    <row r="35" spans="1:30">
      <c r="A35" s="1916"/>
      <c r="B35" s="4696" t="s">
        <v>2131</v>
      </c>
      <c r="C35" s="4696"/>
      <c r="D35" s="4696"/>
      <c r="E35" s="4696"/>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6"/>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2133</v>
      </c>
      <c r="B38" s="1919"/>
      <c r="C38" s="1919"/>
      <c r="D38" s="1919" t="s">
        <v>4073</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096"/>
      <c r="B3" s="1677">
        <f>IF(C3="否",G5-AT5,G5)</f>
        <v>42.16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3.2">
      <c r="A5" s="4103" t="s">
        <v>1054</v>
      </c>
      <c r="B5" s="4104"/>
      <c r="C5" s="4104"/>
      <c r="D5" s="4105"/>
      <c r="E5" s="3899" t="s">
        <v>0</v>
      </c>
      <c r="F5" s="3899">
        <f>SUM(F13:F587)</f>
        <v>0</v>
      </c>
      <c r="G5" s="3899">
        <f>SUM(G13:G587)</f>
        <v>42.16</v>
      </c>
      <c r="H5" s="3899">
        <f t="shared" ref="H5:AT5" si="0">SUM(H13:H656)</f>
        <v>42.16</v>
      </c>
      <c r="I5" s="3899">
        <f t="shared" si="0"/>
        <v>42.16</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42.16</v>
      </c>
      <c r="BA5" s="472">
        <f t="shared" si="1"/>
        <v>42.16</v>
      </c>
      <c r="BB5" s="472">
        <f t="shared" si="1"/>
        <v>42.16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3.2">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5.2">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1074</v>
      </c>
      <c r="I9" s="1204" t="s">
        <v>4069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3.2">
      <c r="A10" s="1195"/>
      <c r="B10" s="1195"/>
      <c r="C10" s="1195"/>
      <c r="D10" s="1195"/>
      <c r="E10" s="1195"/>
      <c r="F10" s="1195"/>
      <c r="G10" s="746"/>
      <c r="H10" s="16"/>
      <c r="I10" s="1204" t="s">
        <v>3218</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地下</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车库</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4070</v>
      </c>
      <c r="E13" s="3899">
        <f>IF($C$3="是",ROUND($A$3*G13/$B$3,2),ROUND($A$3*(G13-AT13)/$B$3,2))</f>
        <v>0</v>
      </c>
      <c r="F13" s="612"/>
      <c r="G13" s="4093">
        <f>H13+AC13+AT13</f>
        <v>42.16</v>
      </c>
      <c r="H13" s="4094">
        <f>SUMIF(I$12:AB$12,"总值",I13:AB13)</f>
        <v>42.16</v>
      </c>
      <c r="I13" s="4095">
        <v>42.16</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42.16</v>
      </c>
      <c r="BA13" s="9">
        <f>SUM(BB13:BK13)</f>
        <v>42.16</v>
      </c>
      <c r="BB13" s="9">
        <f>IF($D13="是",I13-J13,0)</f>
        <v>42.16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1113</v>
      </c>
      <c r="B1" s="804"/>
      <c r="C1" s="804"/>
      <c r="D1" s="804"/>
      <c r="E1" s="804"/>
      <c r="F1" s="804"/>
      <c r="G1" s="804"/>
      <c r="H1" s="804"/>
      <c r="I1" s="804"/>
      <c r="J1" s="804"/>
      <c r="K1" s="804"/>
      <c r="L1" s="804"/>
      <c r="M1" s="804"/>
      <c r="N1" s="804"/>
      <c r="O1" s="804"/>
      <c r="P1" s="804"/>
    </row>
    <row r="2" spans="1:16" ht="14.4">
      <c r="A2" s="4734" t="s">
        <v>1114</v>
      </c>
      <c r="B2" s="4734"/>
      <c r="C2" s="4734"/>
      <c r="D2" s="549" t="s">
        <v>1090</v>
      </c>
      <c r="E2" s="1237" t="s">
        <v>1091</v>
      </c>
      <c r="F2" s="2092"/>
      <c r="G2" s="2085"/>
      <c r="H2" s="2086"/>
      <c r="I2" s="1821" t="s">
        <v>1115</v>
      </c>
      <c r="J2" s="2092"/>
      <c r="K2" s="2092"/>
      <c r="L2" s="2092"/>
      <c r="M2" s="2092"/>
      <c r="N2" s="2094"/>
      <c r="O2" s="2092"/>
      <c r="P2" s="2092"/>
    </row>
    <row r="3" spans="1:16" ht="15" thickBot="1">
      <c r="A3" s="4735" t="s">
        <v>1088</v>
      </c>
      <c r="B3" s="4735"/>
      <c r="C3" s="4735"/>
      <c r="D3" s="4133">
        <f>'数据-基础表'!AY6</f>
        <v>0</v>
      </c>
      <c r="E3" s="4133">
        <f>'数据-基础表'!AZ5</f>
        <v>42.16</v>
      </c>
      <c r="F3" s="2092"/>
      <c r="G3" s="805"/>
      <c r="H3" s="714" t="s">
        <v>1089</v>
      </c>
      <c r="I3" s="2828" t="e">
        <f>ROUND('数据-基础表'!B3/'数据-基础表'!A3,2)</f>
        <v>#DIV/0!</v>
      </c>
      <c r="J3" s="2092"/>
      <c r="K3" s="2092"/>
      <c r="L3" s="2092"/>
      <c r="M3" s="2092"/>
      <c r="N3" s="2094"/>
      <c r="O3" s="2092"/>
      <c r="P3" s="2092"/>
    </row>
    <row r="4" spans="1:16" ht="14.4">
      <c r="A4" s="4736"/>
      <c r="B4" s="4737"/>
      <c r="C4" s="473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ht="14.4">
      <c r="A5" s="24" t="s">
        <v>1092</v>
      </c>
      <c r="B5" s="4739" t="s">
        <v>1093</v>
      </c>
      <c r="C5" s="4739"/>
      <c r="D5" s="4111">
        <f>ROUND($D$3*E5/$E$3,2)</f>
        <v>0</v>
      </c>
      <c r="E5" s="3968">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9" t="s">
        <v>1094</v>
      </c>
      <c r="C6" s="4739"/>
      <c r="D6" s="4111">
        <f>ROUND($D$3*E6/$E$3,2)</f>
        <v>0</v>
      </c>
      <c r="E6" s="3968">
        <f>E3-E5</f>
        <v>42.16</v>
      </c>
      <c r="F6" s="2092"/>
      <c r="G6" s="2088" t="s">
        <v>1095</v>
      </c>
      <c r="H6" s="806" t="s">
        <v>1096</v>
      </c>
      <c r="I6" s="2829" t="e">
        <f>ROUND(F31/D31,2)</f>
        <v>#DIV/0!</v>
      </c>
      <c r="J6" s="2092"/>
      <c r="K6" s="2092"/>
      <c r="L6" s="2092"/>
      <c r="M6" s="2092"/>
      <c r="N6" s="2092"/>
      <c r="O6" s="2092"/>
      <c r="P6" s="2092"/>
    </row>
    <row r="7" spans="1:16" ht="15" thickBot="1">
      <c r="A7" s="4731"/>
      <c r="B7" s="4732"/>
      <c r="C7" s="4733"/>
      <c r="D7" s="1239" t="s">
        <v>1090</v>
      </c>
      <c r="E7" s="1243" t="s">
        <v>1097</v>
      </c>
      <c r="F7" s="2092"/>
      <c r="G7" s="2089" t="s">
        <v>1098</v>
      </c>
      <c r="H7" s="2090"/>
      <c r="I7" s="2830">
        <v>2.5</v>
      </c>
      <c r="J7" s="2092"/>
      <c r="K7" s="2092"/>
      <c r="L7" s="2092"/>
      <c r="M7" s="2092"/>
      <c r="N7" s="2092"/>
      <c r="O7" s="2092"/>
      <c r="P7" s="2092"/>
    </row>
    <row r="8" spans="1:16" ht="14.4">
      <c r="A8" s="24" t="s">
        <v>1099</v>
      </c>
      <c r="B8" s="26" t="s">
        <v>1100</v>
      </c>
      <c r="C8" s="25" t="s">
        <v>1101</v>
      </c>
      <c r="D8" s="4111">
        <f t="shared" ref="D8:D15" si="0">ROUND($D$3*E8/$E$3,2)</f>
        <v>0</v>
      </c>
      <c r="E8" s="3968">
        <f>SUMIF('数据-基础表'!BB10:BK10,"地上",'数据-基础表'!BB5:BK5)</f>
        <v>0</v>
      </c>
      <c r="F8" s="2092"/>
      <c r="G8" s="2093"/>
      <c r="H8" s="2093"/>
      <c r="I8" s="2092"/>
      <c r="J8" s="2092"/>
      <c r="K8" s="2092"/>
      <c r="L8" s="2092"/>
      <c r="M8" s="2092"/>
      <c r="N8" s="2092"/>
      <c r="O8" s="2092"/>
      <c r="P8" s="2092"/>
    </row>
    <row r="9" spans="1:16" ht="14.4">
      <c r="A9" s="1244"/>
      <c r="B9" s="1245"/>
      <c r="C9" s="25" t="s">
        <v>1102</v>
      </c>
      <c r="D9" s="4111">
        <f t="shared" si="0"/>
        <v>0</v>
      </c>
      <c r="E9" s="4134"/>
      <c r="F9" s="2092"/>
      <c r="G9" s="2093"/>
      <c r="H9" s="2093"/>
      <c r="I9" s="2092"/>
      <c r="J9" s="2092"/>
      <c r="K9" s="2092"/>
      <c r="L9" s="2092"/>
      <c r="M9" s="2092"/>
      <c r="N9" s="2092"/>
      <c r="O9" s="2092"/>
      <c r="P9" s="2092"/>
    </row>
    <row r="10" spans="1:16" ht="14.4">
      <c r="A10" s="1244"/>
      <c r="B10" s="1245"/>
      <c r="C10" s="25" t="s">
        <v>1111</v>
      </c>
      <c r="D10" s="4111">
        <f t="shared" si="0"/>
        <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1103</v>
      </c>
      <c r="D11" s="4111">
        <f t="shared" si="0"/>
        <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1104</v>
      </c>
      <c r="D12" s="4111">
        <f t="shared" si="0"/>
        <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1105</v>
      </c>
      <c r="D13" s="4111">
        <f t="shared" si="0"/>
        <v>0</v>
      </c>
      <c r="E13" s="3968">
        <f>SUMPRODUCT(('数据-基础表'!BB10:BK10="地下")*('数据-基础表'!BB11:BK11="车库")*('数据-基础表'!BB5:BK5))</f>
        <v>42.16</v>
      </c>
      <c r="F13" s="2092"/>
      <c r="G13" s="2093"/>
      <c r="H13" s="2093"/>
      <c r="I13" s="2092"/>
      <c r="J13" s="2092"/>
      <c r="K13" s="2092"/>
      <c r="L13" s="2092"/>
      <c r="M13" s="2092"/>
      <c r="N13" s="2092"/>
      <c r="O13" s="2092"/>
      <c r="P13" s="2092"/>
    </row>
    <row r="14" spans="1:16" ht="14.4">
      <c r="A14" s="1244"/>
      <c r="B14" s="1245"/>
      <c r="C14" s="25" t="s">
        <v>1117</v>
      </c>
      <c r="D14" s="4111">
        <f t="shared" si="0"/>
        <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f t="shared" si="0"/>
        <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1106</v>
      </c>
      <c r="D16" s="3910">
        <f>SUM(D8:D15)</f>
        <v>0</v>
      </c>
      <c r="E16" s="4123">
        <f>SUM(E8:E15)</f>
        <v>42.16</v>
      </c>
      <c r="F16" s="2092"/>
      <c r="G16" s="2093"/>
      <c r="H16" s="1246" t="s">
        <v>1118</v>
      </c>
      <c r="I16" s="1247"/>
      <c r="J16" s="804"/>
      <c r="K16" s="4728" t="s">
        <v>1118</v>
      </c>
      <c r="L16" s="4729"/>
      <c r="M16" s="4729"/>
      <c r="N16" s="4729"/>
      <c r="O16" s="4729"/>
      <c r="P16" s="4730"/>
    </row>
    <row r="17" spans="1:19" ht="14.4">
      <c r="A17" s="1248" t="s">
        <v>1119</v>
      </c>
      <c r="B17" s="1249" t="s">
        <v>1120</v>
      </c>
      <c r="C17" s="1250" t="s">
        <v>1121</v>
      </c>
      <c r="D17" s="1251" t="s">
        <v>1109</v>
      </c>
      <c r="E17" s="1252" t="s">
        <v>1110</v>
      </c>
      <c r="F17" s="1253"/>
      <c r="G17" s="1254"/>
      <c r="H17" s="1255" t="s">
        <v>1122</v>
      </c>
      <c r="I17" s="1256" t="s">
        <v>1107</v>
      </c>
      <c r="J17" s="804"/>
      <c r="K17" s="4725" t="s">
        <v>1123</v>
      </c>
      <c r="L17" s="4726"/>
      <c r="M17" s="4727"/>
      <c r="N17" s="4725" t="s">
        <v>1124</v>
      </c>
      <c r="O17" s="4726"/>
      <c r="P17" s="4727"/>
      <c r="R17" s="1238" t="s">
        <v>1125</v>
      </c>
      <c r="S17" s="30"/>
    </row>
    <row r="18" spans="1:19" ht="14.4">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ht="14.4">
      <c r="A19" s="1265"/>
      <c r="B19" s="26" t="s">
        <v>1108</v>
      </c>
      <c r="C19" s="2694" t="s">
        <v>4071</v>
      </c>
      <c r="D19" s="4111">
        <f>ROUND($D$3*E19/$E$3,2)</f>
        <v>0</v>
      </c>
      <c r="E19" s="4111">
        <f t="shared" ref="E19:E26" si="1">SUM(F19:G19)</f>
        <v>42.16</v>
      </c>
      <c r="F19" s="4112"/>
      <c r="G19" s="3938">
        <f>'数据-基础表'!I13</f>
        <v>42.16</v>
      </c>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42.16</v>
      </c>
    </row>
    <row r="20" spans="1:19" ht="14.4">
      <c r="A20" s="1266"/>
      <c r="B20" s="26" t="s">
        <v>1136</v>
      </c>
      <c r="C20" s="2694"/>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ht="14.4">
      <c r="A21" s="1266"/>
      <c r="B21" s="26" t="s">
        <v>1136</v>
      </c>
      <c r="C21" s="2694"/>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ht="14.4">
      <c r="A22" s="1266"/>
      <c r="B22" s="26" t="s">
        <v>1136</v>
      </c>
      <c r="C22" s="2695"/>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ht="14.4">
      <c r="A23" s="1266"/>
      <c r="B23" s="26" t="s">
        <v>1136</v>
      </c>
      <c r="C23" s="2695"/>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ht="14.4">
      <c r="A24" s="1266"/>
      <c r="B24" s="26" t="s">
        <v>1136</v>
      </c>
      <c r="C24" s="2695"/>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ht="14.4">
      <c r="A25" s="1266"/>
      <c r="B25" s="26" t="s">
        <v>1136</v>
      </c>
      <c r="C25" s="2695"/>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ht="14.4">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 thickBot="1">
      <c r="A27" s="1266"/>
      <c r="B27" s="25"/>
      <c r="C27" s="1267" t="s">
        <v>1137</v>
      </c>
      <c r="D27" s="4117">
        <f>SUM(D19:D26)</f>
        <v>0</v>
      </c>
      <c r="E27" s="4117">
        <f>IF(SUM(E19:E26)='数据-基础表'!BA5,SUM(E19:E26),IF(F27="地上面积有误","面积有误","地下面积有误"))</f>
        <v>42.16</v>
      </c>
      <c r="F27" s="4117">
        <f>IF(SUM(F19:F26)=E8,SUM(F19:F26),"地上面积有误")</f>
        <v>0</v>
      </c>
      <c r="G27" s="3965">
        <f>SUM(G19:G26)</f>
        <v>42.16</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42.16</v>
      </c>
    </row>
    <row r="28" spans="1:19" ht="14.4">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ht="14.4">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4.4">
      <c r="A30" s="1266"/>
      <c r="B30" s="26"/>
      <c r="C30" s="1269" t="s">
        <v>1137</v>
      </c>
      <c r="D30" s="4117">
        <f>SUM(D28:D29)</f>
        <v>0</v>
      </c>
      <c r="E30" s="4117">
        <f>SUM(E28:E29)</f>
        <v>0</v>
      </c>
      <c r="F30" s="4117">
        <f>SUM(F28:F29)</f>
        <v>0</v>
      </c>
      <c r="G30" s="3965">
        <f>SUM(G28:G29)</f>
        <v>0</v>
      </c>
      <c r="H30" s="4121"/>
      <c r="I30" s="4121"/>
      <c r="J30" s="2092"/>
      <c r="K30" s="2092"/>
      <c r="L30" s="2092"/>
      <c r="M30" s="2092"/>
      <c r="N30" s="2092"/>
      <c r="O30" s="2092"/>
      <c r="P30" s="2092"/>
    </row>
    <row r="31" spans="1:19" ht="15" thickBot="1">
      <c r="A31" s="1270"/>
      <c r="B31" s="1271"/>
      <c r="C31" s="564" t="s">
        <v>1141</v>
      </c>
      <c r="D31" s="4124">
        <f>D27+D30</f>
        <v>0</v>
      </c>
      <c r="E31" s="4124">
        <f>E27+E30</f>
        <v>42.16</v>
      </c>
      <c r="F31" s="4125">
        <f>F27+F30</f>
        <v>0</v>
      </c>
      <c r="G31" s="4126">
        <f>G27+G30</f>
        <v>42.16</v>
      </c>
      <c r="H31" s="4121"/>
      <c r="I31" s="4121"/>
      <c r="J31" s="2092"/>
      <c r="K31" s="2092"/>
      <c r="L31" s="2092"/>
      <c r="M31" s="2092"/>
      <c r="N31" s="2092"/>
      <c r="O31" s="2092"/>
      <c r="P31" s="2092"/>
    </row>
    <row r="32" spans="1:19" ht="14.4">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15" activePane="bottomRight" state="frozen"/>
      <selection activeCell="C50" sqref="C50"/>
      <selection pane="topRight" activeCell="C50" sqref="C50"/>
      <selection pane="bottomLeft" activeCell="C50" sqref="C50"/>
      <selection pane="bottomRight" activeCell="C37" sqref="C37"/>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7" customWidth="1"/>
    <col min="46" max="67" width="13.77734375" style="1275"/>
    <col min="68" max="16384" width="13.77734375" style="1276"/>
  </cols>
  <sheetData>
    <row r="1" spans="1:67" ht="18"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 thickBot="1">
      <c r="A2" s="1277" t="s">
        <v>1144</v>
      </c>
      <c r="B2" s="726">
        <f>项目基本情况!D3</f>
        <v>46093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车库</v>
      </c>
      <c r="B6" s="1306" t="str">
        <f>IF(A6=0,"","经营性")</f>
        <v>经营性</v>
      </c>
      <c r="C6" s="1307" t="s">
        <v>3218</v>
      </c>
      <c r="D6" s="3553">
        <f>SUMIF(项目基本情况!C$12:I$12,C6,项目基本情况!C$14:I$14)</f>
        <v>50</v>
      </c>
      <c r="E6" s="580">
        <f>IF(B6="","",SUMIF(项目基本情况!C$12:I$12,C6,项目基本情况!C$13:I$13))</f>
        <v>61059</v>
      </c>
      <c r="F6" s="3555">
        <f>SUMIF(项目基本情况!C$12:I$12,C6,项目基本情况!C$15:I$15)</f>
        <v>41</v>
      </c>
      <c r="G6" s="3556">
        <f t="shared" ref="G6:G13" si="0">IF(ISERROR(ROUND(POWER(1+H6,D6-F6)*(POWER(1+H6,F6)-1)/(POWER(1+H6,D6)-1),4)),0,ROUND(POWER(1+H6,D6-F6)*(POWER(1+H6,F6)-1)/(POWER(1+H6,D6)-1),4))</f>
        <v>0.92079999999999995</v>
      </c>
      <c r="H6" s="3557">
        <v>3.5000000000000003E-2</v>
      </c>
      <c r="I6" s="3557">
        <v>0.04</v>
      </c>
      <c r="J6" s="3558">
        <v>4.4999999999999998E-2</v>
      </c>
      <c r="K6" s="4135">
        <f>SUMIF('数据-汇总表'!C$19:C$33,A6,'数据-汇总表'!E$19:E$33)</f>
        <v>42.16</v>
      </c>
      <c r="L6" s="4136">
        <v>3500</v>
      </c>
      <c r="M6" s="4137">
        <f t="shared" ref="M6:M14" si="1">ROUND(K6*L6/10000,0)</f>
        <v>15</v>
      </c>
      <c r="N6" s="3545">
        <v>0.9</v>
      </c>
      <c r="O6" s="4137" t="str">
        <f>IF($N$5="成新度","——",ROUND(M6*N6,0))</f>
        <v>——</v>
      </c>
      <c r="P6" s="3918" t="str">
        <f>IF($N$5="成新度","——",M6-O6)</f>
        <v>——</v>
      </c>
      <c r="Q6" s="3546">
        <v>0.05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v>200</v>
      </c>
      <c r="V6" s="36">
        <v>0.01</v>
      </c>
      <c r="W6" s="36">
        <v>0.25</v>
      </c>
      <c r="X6" s="721"/>
      <c r="Y6" s="37">
        <f>N6</f>
        <v>0.9</v>
      </c>
      <c r="Z6" s="4163"/>
      <c r="AA6" s="35"/>
      <c r="AB6" s="35"/>
      <c r="AC6" s="721"/>
      <c r="AD6" s="38"/>
      <c r="AE6" s="4167">
        <f ca="1">IF(AN6="",0,SUMIF(INDIRECT("'"&amp;AN6&amp;"'"&amp;"!E:E"),$AE$5,INDIRECT("'"&amp;AN6&amp;"'"&amp;"!F:F")))</f>
        <v>41</v>
      </c>
      <c r="AF6" s="4168"/>
      <c r="AG6" s="4169">
        <f>IF(AF6="",0,AE6-AF6)</f>
        <v>0</v>
      </c>
      <c r="AH6" s="4158">
        <v>1</v>
      </c>
      <c r="AI6" s="4172">
        <v>12</v>
      </c>
      <c r="AJ6" s="4168"/>
      <c r="AK6" s="39">
        <v>2E-3</v>
      </c>
      <c r="AL6" s="40">
        <v>1E-3</v>
      </c>
      <c r="AM6" s="41">
        <v>0.01</v>
      </c>
      <c r="AN6" s="1308" t="s">
        <v>4108</v>
      </c>
      <c r="AO6" s="4111">
        <f ca="1">SUMIF(INDIRECT("'"&amp;AN6&amp;"'"&amp;"!A:A"),"总价",INDIRECT("'"&amp;AN6&amp;"'"&amp;"!B:B"))</f>
        <v>3.911</v>
      </c>
      <c r="AP6" s="4111">
        <f>IF(C6="住宅",K6*L6,0)</f>
        <v>0</v>
      </c>
      <c r="AQ6" s="4111">
        <f>ROUND($L$14*$N$14*S6/10000,0)</f>
        <v>0</v>
      </c>
      <c r="AR6" s="4111">
        <f>ROUND($L$14*(1-$N$14)*S6/10000,0)</f>
        <v>0</v>
      </c>
      <c r="AS6" s="4111">
        <f>ROUND(1-1/(1+H6)^F6,3)</f>
        <v>0.75600000000000001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4"/>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4"/>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1192</v>
      </c>
      <c r="B16" s="45"/>
      <c r="C16" s="563"/>
      <c r="D16" s="3554"/>
      <c r="E16" s="45"/>
      <c r="F16" s="3560"/>
      <c r="G16" s="3561">
        <f>ROUND(SUMPRODUCT(G6:G13,K6:K13)/SUMPRODUCT((G6:G13&gt;0)*(K6:K13)),4)</f>
        <v>0.92079999999999995</v>
      </c>
      <c r="H16" s="3562">
        <f>ROUND(SUMPRODUCT(H6:H13,K6:K13)/SUMPRODUCT((H6:H13&gt;0)*(K6:K13)),3)</f>
        <v>3.5000000000000003E-2</v>
      </c>
      <c r="I16" s="3563"/>
      <c r="J16" s="3563"/>
      <c r="K16" s="4139">
        <f>SUM(K6:K15)</f>
        <v>42.16</v>
      </c>
      <c r="L16" s="4140">
        <f>ROUND(M16*10000/SUM(K6:K14),0)</f>
        <v>3558</v>
      </c>
      <c r="M16" s="4140">
        <f>SUM(M6:M14)</f>
        <v>15</v>
      </c>
      <c r="N16" s="3551">
        <f>ROUND(SUMPRODUCT(M6:M14,N6:N14)/M16,3)</f>
        <v>0.9</v>
      </c>
      <c r="O16" s="4140">
        <f>SUM(O6:O14)</f>
        <v>0</v>
      </c>
      <c r="P16" s="4140">
        <f>SUM(P6:P14)</f>
        <v>0</v>
      </c>
      <c r="Q16" s="3552">
        <f>ROUND(SUMPRODUCT(Q6:Q13,K6:K13)/SUMPRODUCT((Q6:Q13&gt;0)*(K6:K13)),2)</f>
        <v>0.05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4"/>
      <c r="AO16" s="4173"/>
      <c r="AP16" s="4173"/>
      <c r="AQ16" s="4173"/>
      <c r="AR16" s="4173"/>
      <c r="AS16" s="4111">
        <f>ROUND(SUMPRODUCT(AS6:AS13,K6:K13)/SUMPRODUCT((AS6:AS13&gt;0)*(K6:K13)),3)</f>
        <v>0.75600000000000001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5"/>
      <c r="AP17" s="4175"/>
      <c r="AQ17" s="4175"/>
      <c r="AR17" s="4175"/>
      <c r="AS17" s="4176"/>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4">
      <c r="A19" s="4189" t="s">
        <v>1194</v>
      </c>
      <c r="B19" s="4141">
        <v>0</v>
      </c>
      <c r="C19" s="4273" t="s">
        <v>2196</v>
      </c>
      <c r="D19" s="4269"/>
      <c r="E19" s="4270"/>
      <c r="F19" s="4270"/>
      <c r="G19" s="4270"/>
      <c r="H19" s="2106"/>
      <c r="I19" s="2106"/>
      <c r="J19" s="2106"/>
      <c r="K19" s="2105"/>
      <c r="L19" s="2105"/>
      <c r="M19" s="2104"/>
      <c r="N19" s="2104">
        <v>2017</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4">
      <c r="A20" s="1313" t="s">
        <v>1195</v>
      </c>
      <c r="B20" s="4142">
        <v>1</v>
      </c>
      <c r="C20" s="4271" t="s">
        <v>3846</v>
      </c>
      <c r="D20" s="4269"/>
      <c r="E20" s="4270"/>
      <c r="F20" s="4270"/>
      <c r="G20" s="4270"/>
      <c r="H20" s="2106"/>
      <c r="I20" s="2106"/>
      <c r="J20" s="2106"/>
      <c r="K20" s="2105"/>
      <c r="L20" s="2105"/>
      <c r="M20" s="2104"/>
      <c r="N20" s="2104">
        <f>ROUND(1-(2026-N19)/60,2)</f>
        <v>0.85</v>
      </c>
      <c r="O20" s="2104">
        <v>0.5</v>
      </c>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4">
      <c r="A21" s="1314" t="s">
        <v>1196</v>
      </c>
      <c r="B21" s="4142">
        <v>1</v>
      </c>
      <c r="C21" s="2106"/>
      <c r="D21" s="2109"/>
      <c r="E21" s="2106"/>
      <c r="F21" s="2106"/>
      <c r="G21" s="2106"/>
      <c r="H21" s="2106"/>
      <c r="I21" s="2106"/>
      <c r="J21" s="2106"/>
      <c r="K21" s="2105"/>
      <c r="L21" s="2105"/>
      <c r="M21" s="2104"/>
      <c r="N21" s="2104">
        <v>0.95</v>
      </c>
      <c r="O21" s="2104">
        <f>1-O20</f>
        <v>0.5</v>
      </c>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4">
      <c r="A22" s="1313" t="s">
        <v>1197</v>
      </c>
      <c r="B22" s="4143">
        <f>B19+B20</f>
        <v>1</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4">
      <c r="A23" s="1314" t="s">
        <v>1198</v>
      </c>
      <c r="B23" s="4143">
        <f>B19+B21</f>
        <v>1</v>
      </c>
      <c r="C23" s="2106"/>
      <c r="D23" s="2109"/>
      <c r="E23" s="2106"/>
      <c r="F23" s="2106"/>
      <c r="G23" s="2106"/>
      <c r="H23" s="2106"/>
      <c r="I23" s="2106"/>
      <c r="J23" s="2106"/>
      <c r="K23" s="2105"/>
      <c r="L23" s="2105"/>
      <c r="M23" s="2104"/>
      <c r="N23" s="4641">
        <f>N20*O20+N21*O21</f>
        <v>0.89999999999999991</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4">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4.4" thickBot="1">
      <c r="A25" s="1163"/>
      <c r="B25" s="1281"/>
      <c r="C25" s="2106"/>
      <c r="D25" s="2109"/>
      <c r="E25" s="2106"/>
      <c r="F25" s="3901"/>
      <c r="G25" s="2106"/>
      <c r="H25" s="2106"/>
      <c r="I25" s="2106"/>
      <c r="J25" s="2106"/>
      <c r="K25" s="2105"/>
      <c r="L25" s="2105"/>
      <c r="M25" s="2104"/>
      <c r="N25" s="2104">
        <f>ROUND(1-(2026-2021)/60,2)</f>
        <v>0.92</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4">
      <c r="A27" s="1317" t="s">
        <v>1202</v>
      </c>
      <c r="B27" s="4145">
        <v>160</v>
      </c>
      <c r="C27" s="4319" t="s">
        <v>2197</v>
      </c>
      <c r="D27" s="4274"/>
      <c r="E27" s="4275"/>
      <c r="F27" s="4275"/>
      <c r="G27" s="4270"/>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1203</v>
      </c>
      <c r="B28" s="4146">
        <v>200</v>
      </c>
      <c r="C28" s="4479"/>
      <c r="D28" s="4274"/>
      <c r="E28" s="4275"/>
      <c r="F28" s="4275"/>
      <c r="G28" s="4270"/>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1204</v>
      </c>
      <c r="B29" s="4147"/>
      <c r="C29" s="4320" t="s">
        <v>3845</v>
      </c>
      <c r="D29" s="4274"/>
      <c r="E29" s="4275"/>
      <c r="F29" s="4275"/>
      <c r="G29" s="4270"/>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1205</v>
      </c>
      <c r="B30" s="4148">
        <v>265</v>
      </c>
      <c r="C30" s="4326" t="s">
        <v>3973</v>
      </c>
      <c r="D30" s="4274"/>
      <c r="E30" s="4275"/>
      <c r="F30" s="4275"/>
      <c r="G30" s="4270"/>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1206</v>
      </c>
      <c r="B31" s="4143">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2" t="s">
        <v>3810</v>
      </c>
      <c r="B33" s="4256">
        <v>0.02</v>
      </c>
      <c r="C33" s="4310" t="s">
        <v>3838</v>
      </c>
      <c r="D33" s="4269"/>
      <c r="E33" s="4270"/>
      <c r="F33" s="4270"/>
      <c r="G33" s="4270"/>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1208</v>
      </c>
      <c r="B34" s="4257">
        <v>0</v>
      </c>
      <c r="C34" s="4271" t="s">
        <v>3840</v>
      </c>
      <c r="D34" s="4276"/>
      <c r="E34" s="4272"/>
      <c r="F34" s="4270"/>
      <c r="G34" s="4270"/>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1209</v>
      </c>
      <c r="B35" s="4258">
        <v>300</v>
      </c>
      <c r="C35" s="4273" t="s">
        <v>3842</v>
      </c>
      <c r="D35" s="4274"/>
      <c r="E35" s="4275"/>
      <c r="F35" s="4275"/>
      <c r="G35" s="4270"/>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0" t="s">
        <v>3291</v>
      </c>
      <c r="B36" s="3564">
        <v>0.02</v>
      </c>
      <c r="C36" s="4311" t="s">
        <v>3841</v>
      </c>
      <c r="D36" s="4274"/>
      <c r="E36" s="4275"/>
      <c r="F36" s="4275"/>
      <c r="G36" s="4270"/>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3292</v>
      </c>
      <c r="B37" s="3565">
        <v>0.02</v>
      </c>
      <c r="C37" s="4273" t="s">
        <v>3839</v>
      </c>
      <c r="D37" s="4269"/>
      <c r="E37" s="4270"/>
      <c r="F37" s="4270"/>
      <c r="G37" s="4270"/>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4">
      <c r="A38" s="1321" t="s">
        <v>1210</v>
      </c>
      <c r="B38" s="3566">
        <v>0.01</v>
      </c>
      <c r="C38" s="4271" t="s">
        <v>3267</v>
      </c>
      <c r="D38" s="4269"/>
      <c r="E38" s="4270"/>
      <c r="F38" s="4270"/>
      <c r="G38" s="4270"/>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4">
      <c r="A39" s="1319" t="s">
        <v>1211</v>
      </c>
      <c r="B39" s="3564">
        <v>0.01</v>
      </c>
      <c r="C39" s="4271" t="s">
        <v>3843</v>
      </c>
      <c r="D39" s="4269"/>
      <c r="E39" s="4270"/>
      <c r="F39" s="4270"/>
      <c r="G39" s="4270"/>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4">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4.4" thickBot="1">
      <c r="A41" s="2228" t="s">
        <v>2203</v>
      </c>
      <c r="B41" s="3568">
        <f ca="1">IF(A41="利息：取LPR",存贷款利率!G1,存贷款利率!G1+C41)</f>
        <v>0.03</v>
      </c>
      <c r="C41" s="4480"/>
      <c r="D41" s="4481"/>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4">
      <c r="A42" s="4192"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4">
      <c r="A43" s="1323" t="s">
        <v>1213</v>
      </c>
      <c r="B43" s="4254">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4">
      <c r="A44" s="1323" t="s">
        <v>1214</v>
      </c>
      <c r="B44" s="4255">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4">
      <c r="A45" s="1324" t="s">
        <v>1215</v>
      </c>
      <c r="B45" s="3570">
        <v>7.0000000000000007E-2</v>
      </c>
      <c r="C45" s="4271" t="s">
        <v>3268</v>
      </c>
      <c r="D45" s="4269"/>
      <c r="E45" s="4270"/>
      <c r="F45" s="4270"/>
      <c r="G45" s="4270"/>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4">
      <c r="A46" s="1324" t="s">
        <v>1216</v>
      </c>
      <c r="B46" s="3571">
        <v>0.03</v>
      </c>
      <c r="C46" s="4320" t="s">
        <v>3847</v>
      </c>
      <c r="D46" s="4321"/>
      <c r="E46" s="4322"/>
      <c r="F46" s="4270"/>
      <c r="G46" s="4270"/>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4">
      <c r="A47" s="1324" t="s">
        <v>1217</v>
      </c>
      <c r="B47" s="3571">
        <v>0.02</v>
      </c>
      <c r="C47" s="4320" t="s">
        <v>3848</v>
      </c>
      <c r="D47" s="4321"/>
      <c r="E47" s="4322"/>
      <c r="F47" s="4270"/>
      <c r="G47" s="4270"/>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3" t="s">
        <v>2198</v>
      </c>
      <c r="D48" s="4321"/>
      <c r="E48" s="4322"/>
      <c r="F48" s="4270"/>
      <c r="G48" s="4270"/>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4">
      <c r="A49" s="1326" t="s">
        <v>1219</v>
      </c>
      <c r="B49" s="3573">
        <v>0.03</v>
      </c>
      <c r="C49" s="4320" t="s">
        <v>3849</v>
      </c>
      <c r="D49" s="4321"/>
      <c r="E49" s="4322"/>
      <c r="F49" s="4270"/>
      <c r="G49" s="4270"/>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0" t="s">
        <v>3850</v>
      </c>
      <c r="D50" s="4321"/>
      <c r="E50" s="4322"/>
      <c r="F50" s="4270"/>
      <c r="G50" s="4270"/>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4">
      <c r="A51" s="1327" t="s">
        <v>1221</v>
      </c>
      <c r="B51" s="4253">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2">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4">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4">
      <c r="A54" s="1319" t="s">
        <v>1224</v>
      </c>
      <c r="B54" s="3575"/>
      <c r="C54" s="2105" t="s">
        <v>3851</v>
      </c>
      <c r="D54" s="4324" t="s">
        <v>3852</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4">
      <c r="A55" s="1328" t="s">
        <v>1225</v>
      </c>
      <c r="B55" s="4150"/>
      <c r="C55" s="4325">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4">
      <c r="A56" s="1328" t="s">
        <v>1226</v>
      </c>
      <c r="B56" s="4150"/>
      <c r="C56" s="4325">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4">
      <c r="A57" s="1328" t="s">
        <v>1227</v>
      </c>
      <c r="B57" s="4150"/>
      <c r="C57" s="4325">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4">
      <c r="A58" s="1328" t="s">
        <v>1228</v>
      </c>
      <c r="B58" s="4150"/>
      <c r="C58" s="4325">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4">
      <c r="A59" s="1328" t="s">
        <v>1229</v>
      </c>
      <c r="B59" s="4150"/>
      <c r="C59" s="4325">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4">
      <c r="A60" s="1328" t="s">
        <v>1230</v>
      </c>
      <c r="B60" s="4150"/>
      <c r="C60" s="4325">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4">
      <c r="A61" s="1328" t="s">
        <v>1231</v>
      </c>
      <c r="B61" s="4150"/>
      <c r="C61" s="4151"/>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4">
      <c r="A62" s="1328" t="s">
        <v>1232</v>
      </c>
      <c r="B62" s="4150"/>
      <c r="C62" s="4151"/>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4">
      <c r="A63" s="1328" t="s">
        <v>1233</v>
      </c>
      <c r="B63" s="4150"/>
      <c r="C63" s="4151"/>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2"/>
      <c r="C64" s="4151"/>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40" t="s">
        <v>2188</v>
      </c>
      <c r="B1" s="4741"/>
      <c r="C1" s="4741"/>
      <c r="D1" s="4741"/>
      <c r="E1" s="4741"/>
      <c r="F1" s="4741"/>
      <c r="G1" s="474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7.200000000000003">
      <c r="A4" s="1929"/>
      <c r="B4" s="210" t="s">
        <v>2156</v>
      </c>
      <c r="C4" s="1955" t="s">
        <v>2157</v>
      </c>
      <c r="D4" s="1952"/>
      <c r="E4" s="1956"/>
      <c r="F4" s="980" t="s">
        <v>2158</v>
      </c>
      <c r="G4" s="1957" t="s">
        <v>2159</v>
      </c>
      <c r="H4" s="550"/>
      <c r="I4" s="550"/>
      <c r="J4" s="550"/>
      <c r="K4" s="550"/>
      <c r="L4" s="550"/>
      <c r="M4" s="550"/>
      <c r="N4" s="550"/>
      <c r="O4" s="550"/>
      <c r="P4" s="550"/>
      <c r="Q4" s="550"/>
      <c r="R4" s="550"/>
    </row>
    <row r="5" spans="1:29" ht="37.200000000000003">
      <c r="A5" s="1929"/>
      <c r="B5" s="210" t="s">
        <v>2160</v>
      </c>
      <c r="C5" s="1955" t="s">
        <v>2161</v>
      </c>
      <c r="D5" s="1952"/>
      <c r="E5" s="1956"/>
      <c r="F5" s="210" t="s">
        <v>2162</v>
      </c>
      <c r="G5" s="1957" t="s">
        <v>2163</v>
      </c>
      <c r="H5" s="550"/>
      <c r="I5" s="550"/>
      <c r="J5" s="550"/>
      <c r="K5" s="550"/>
      <c r="L5" s="550"/>
      <c r="M5" s="550"/>
      <c r="N5" s="550"/>
      <c r="O5" s="550"/>
      <c r="P5" s="550"/>
      <c r="Q5" s="550"/>
      <c r="R5" s="550"/>
    </row>
    <row r="6" spans="1:29" ht="48">
      <c r="A6" s="1929"/>
      <c r="B6" s="210" t="s">
        <v>2164</v>
      </c>
      <c r="C6" s="1957" t="s">
        <v>2159</v>
      </c>
      <c r="D6" s="1952"/>
      <c r="E6" s="1956"/>
      <c r="F6" s="210" t="s">
        <v>2165</v>
      </c>
      <c r="G6" s="1957" t="s">
        <v>2166</v>
      </c>
      <c r="H6" s="550"/>
      <c r="I6" s="550"/>
      <c r="J6" s="550"/>
      <c r="K6" s="550"/>
      <c r="L6" s="550"/>
      <c r="M6" s="550"/>
      <c r="N6" s="550"/>
      <c r="O6" s="550"/>
      <c r="P6" s="550"/>
      <c r="Q6" s="550"/>
      <c r="R6" s="550"/>
    </row>
    <row r="7" spans="1:29" ht="36.6"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ht="24">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4.4"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2189</v>
      </c>
      <c r="B13" s="1971"/>
      <c r="C13" s="1971"/>
      <c r="D13" s="1969"/>
      <c r="E13" s="1971"/>
      <c r="F13" s="1971"/>
      <c r="G13" s="1971"/>
    </row>
    <row r="14" spans="1:29" ht="14.4" thickBot="1">
      <c r="A14" s="1981"/>
      <c r="B14" s="1981"/>
      <c r="C14" s="1982" t="s">
        <v>2172</v>
      </c>
      <c r="D14" s="1952"/>
      <c r="E14" s="1983"/>
      <c r="F14" s="1983"/>
      <c r="G14" s="1947" t="s">
        <v>2173</v>
      </c>
    </row>
    <row r="15" spans="1:29" ht="52.8">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9.6">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9.6">
      <c r="A17" s="1933"/>
      <c r="B17" s="1987" t="s">
        <v>2160</v>
      </c>
      <c r="C17" s="1988" t="str">
        <f>C5</f>
        <v>估价对象位于XX商圈，周边办公楼项目较多，入驻率高，办公集聚程度较好</v>
      </c>
      <c r="D17" s="1958"/>
      <c r="E17" s="1934"/>
      <c r="F17" s="1989" t="s">
        <v>2177</v>
      </c>
      <c r="G17" s="1991"/>
    </row>
    <row r="18" spans="1:18" ht="52.8">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6.4">
      <c r="A19" s="1933"/>
      <c r="B19" s="1989" t="s">
        <v>2178</v>
      </c>
      <c r="C19" s="1991"/>
      <c r="D19" s="1952"/>
      <c r="E19" s="1934"/>
      <c r="F19" s="210" t="s">
        <v>2162</v>
      </c>
      <c r="G19" s="1990" t="str">
        <f>G5</f>
        <v>估价对象所在区域公共配套设施齐备情况</v>
      </c>
    </row>
    <row r="20" spans="1:18" ht="26.4">
      <c r="A20" s="1933"/>
      <c r="B20" s="1989" t="s">
        <v>2179</v>
      </c>
      <c r="C20" s="1988" t="str">
        <f>C9</f>
        <v>区域自然环境：；人文环境；综合评价环境状况一般</v>
      </c>
      <c r="D20" s="1958"/>
      <c r="E20" s="1934"/>
      <c r="F20" s="210" t="s">
        <v>2165</v>
      </c>
      <c r="G20" s="1990" t="str">
        <f>G6</f>
        <v>估价对象所在区域基础设施水平</v>
      </c>
    </row>
    <row r="21" spans="1:18" ht="26.4">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4.4"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4.4"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34" sqref="E34"/>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06">
        <f>SUM(B14:B23)</f>
        <v>126.47999999999999</v>
      </c>
      <c r="C1" s="2117"/>
      <c r="D1" s="2117"/>
      <c r="E1" s="2117"/>
      <c r="F1" s="2117"/>
      <c r="G1" s="2118"/>
      <c r="H1" s="2119"/>
      <c r="I1" s="2119"/>
      <c r="J1" s="2119"/>
      <c r="K1" s="2119"/>
    </row>
    <row r="2" spans="1:11" ht="16.2">
      <c r="A2" s="1999" t="s">
        <v>641</v>
      </c>
      <c r="B2" s="3906">
        <f>SUM(C14:C23)</f>
        <v>0</v>
      </c>
      <c r="C2" s="2117"/>
      <c r="D2" s="2117"/>
      <c r="E2" s="2117"/>
      <c r="F2" s="2117"/>
      <c r="G2" s="2118"/>
      <c r="H2" s="2119"/>
      <c r="I2" s="2119"/>
      <c r="J2" s="2119"/>
      <c r="K2" s="2119"/>
    </row>
    <row r="3" spans="1:11" ht="15.6">
      <c r="A3" s="1999" t="s">
        <v>650</v>
      </c>
      <c r="B3" s="2001">
        <f>项目基本情况!D3</f>
        <v>46093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06">
        <f ca="1">SUM(D14:D23)</f>
        <v>25.739062997600001</v>
      </c>
      <c r="C5" s="3906">
        <f ca="1">ROUND(B5*10000/$B$1,0)</f>
        <v>2035</v>
      </c>
      <c r="D5" s="3906" t="e">
        <f ca="1">ROUND(B5*10000/$B$2,0)</f>
        <v>#DIV/0!</v>
      </c>
      <c r="E5" s="2117"/>
      <c r="F5" s="2118"/>
      <c r="G5" s="2118"/>
      <c r="H5" s="2119"/>
      <c r="I5" s="2119"/>
      <c r="J5" s="2119"/>
      <c r="K5" s="2119"/>
    </row>
    <row r="6" spans="1:11" ht="15.6">
      <c r="A6" s="1999" t="s">
        <v>644</v>
      </c>
      <c r="B6" s="3906">
        <f>SUM(G14:G23)</f>
        <v>0</v>
      </c>
      <c r="C6" s="3906">
        <f>ROUND(B6*10000/$B$1,0)</f>
        <v>0</v>
      </c>
      <c r="D6" s="3906" t="e">
        <f>ROUND(B6*10000/$B$2,0)</f>
        <v>#DIV/0!</v>
      </c>
      <c r="E6" s="2117"/>
      <c r="F6" s="2118"/>
      <c r="G6" s="2118"/>
      <c r="H6" s="2119"/>
      <c r="I6" s="2119"/>
      <c r="J6" s="2119"/>
      <c r="K6" s="2119"/>
    </row>
    <row r="7" spans="1:11" ht="15.6">
      <c r="A7" s="1999" t="s">
        <v>652</v>
      </c>
      <c r="B7" s="3906">
        <f>SUM(H14:H23)</f>
        <v>0</v>
      </c>
      <c r="C7" s="3906" t="str">
        <f>IF(B7=H14,结果表!H110,ROUND(B7*10000/$B$1,0))</f>
        <v>——</v>
      </c>
      <c r="D7" s="3906" t="e">
        <f>ROUND(B7*10000/$B$2,0)</f>
        <v>#DIV/0!</v>
      </c>
      <c r="E7" s="2117"/>
      <c r="F7" s="2118"/>
      <c r="G7" s="2118"/>
      <c r="H7" s="2119"/>
      <c r="I7" s="2119"/>
      <c r="J7" s="2119"/>
      <c r="K7" s="2119"/>
    </row>
    <row r="8" spans="1:11" ht="15.6">
      <c r="A8" s="1999" t="s">
        <v>581</v>
      </c>
      <c r="B8" s="3906">
        <f>SUM(I14:I23)</f>
        <v>0</v>
      </c>
      <c r="C8" s="3906" t="str">
        <f>IF(B8=I14,结果表!H112,ROUND(B8*10000/$B$1,0))</f>
        <v>——</v>
      </c>
      <c r="D8" s="3906"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06">
        <f>IF(E10="",0,ROUND(B1*(E10*365/G10)/10000,0))</f>
        <v>0</v>
      </c>
      <c r="C10" s="1999" t="s">
        <v>3240</v>
      </c>
      <c r="D10" s="1999" t="s">
        <v>3241</v>
      </c>
      <c r="E10" s="3907"/>
      <c r="F10" s="2712" t="s">
        <v>3242</v>
      </c>
      <c r="G10" s="3908"/>
      <c r="H10" s="2119"/>
      <c r="I10" s="2119"/>
      <c r="J10" s="2119"/>
      <c r="K10" s="2119"/>
    </row>
    <row r="11" spans="1:11" ht="15.6">
      <c r="A11" s="1999" t="s">
        <v>658</v>
      </c>
      <c r="B11" s="3905"/>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2">
        <f>典型户型修正!B24</f>
        <v>42.16</v>
      </c>
      <c r="C14" s="3902"/>
      <c r="D14" s="3902">
        <f ca="1">结果表!I19</f>
        <v>12.843</v>
      </c>
      <c r="E14" s="3902">
        <f ca="1">ROUND(D14*10000/B14,0)</f>
        <v>3046</v>
      </c>
      <c r="F14" s="3902" t="e">
        <f ca="1">ROUND(D14*10000/C14,0)</f>
        <v>#DIV/0!</v>
      </c>
      <c r="G14" s="3902"/>
      <c r="H14" s="3902"/>
      <c r="I14" s="3902"/>
      <c r="J14" s="2118"/>
      <c r="K14" s="2119"/>
    </row>
    <row r="15" spans="1:11" ht="15.6">
      <c r="A15" s="2004" t="s">
        <v>637</v>
      </c>
      <c r="B15" s="3903">
        <f>B14</f>
        <v>42.16</v>
      </c>
      <c r="C15" s="3903"/>
      <c r="D15" s="3903">
        <f ca="1">D14</f>
        <v>12.843</v>
      </c>
      <c r="E15" s="3902">
        <f t="shared" ref="E15:E23" ca="1" si="0">ROUND(D15*10000/B15,0)</f>
        <v>3046</v>
      </c>
      <c r="F15" s="3902" t="e">
        <f t="shared" ref="F15:F23" ca="1" si="1">ROUND(D15*10000/C15,0)</f>
        <v>#DIV/0!</v>
      </c>
      <c r="G15" s="3904"/>
      <c r="H15" s="3904"/>
      <c r="I15" s="3903"/>
      <c r="J15" s="2118"/>
      <c r="K15" s="2119"/>
    </row>
    <row r="16" spans="1:11" ht="15.6">
      <c r="A16" s="2004" t="s">
        <v>636</v>
      </c>
      <c r="B16" s="3903">
        <f>B14</f>
        <v>42.16</v>
      </c>
      <c r="C16" s="3903"/>
      <c r="D16" s="3903">
        <f ca="1">典型户型修正!R26*典型户型修正!B26/10000</f>
        <v>5.3062997599999995E-2</v>
      </c>
      <c r="E16" s="3902">
        <f t="shared" ca="1" si="0"/>
        <v>13</v>
      </c>
      <c r="F16" s="3902" t="e">
        <f t="shared" ca="1" si="1"/>
        <v>#DIV/0!</v>
      </c>
      <c r="G16" s="3904"/>
      <c r="H16" s="3904"/>
      <c r="I16" s="3903"/>
      <c r="J16" s="2119"/>
      <c r="K16" s="2119"/>
    </row>
    <row r="17" spans="1:11" ht="15.6">
      <c r="A17" s="2004" t="s">
        <v>635</v>
      </c>
      <c r="B17" s="3903"/>
      <c r="C17" s="3903"/>
      <c r="D17" s="3903"/>
      <c r="E17" s="3902" t="e">
        <f t="shared" si="0"/>
        <v>#DIV/0!</v>
      </c>
      <c r="F17" s="3902" t="e">
        <f t="shared" si="1"/>
        <v>#DIV/0!</v>
      </c>
      <c r="G17" s="3904"/>
      <c r="H17" s="3904"/>
      <c r="I17" s="3903"/>
      <c r="J17" s="2119"/>
      <c r="K17" s="2119"/>
    </row>
    <row r="18" spans="1:11" ht="15.6">
      <c r="A18" s="2004" t="s">
        <v>634</v>
      </c>
      <c r="B18" s="3903"/>
      <c r="C18" s="3903"/>
      <c r="D18" s="3903"/>
      <c r="E18" s="3902" t="e">
        <f t="shared" si="0"/>
        <v>#DIV/0!</v>
      </c>
      <c r="F18" s="3902" t="e">
        <f t="shared" si="1"/>
        <v>#DIV/0!</v>
      </c>
      <c r="G18" s="3903"/>
      <c r="H18" s="3903"/>
      <c r="I18" s="3903"/>
      <c r="J18" s="2119"/>
      <c r="K18" s="2119"/>
    </row>
    <row r="19" spans="1:11" ht="15.6">
      <c r="A19" s="2004" t="s">
        <v>633</v>
      </c>
      <c r="B19" s="3903"/>
      <c r="C19" s="3903"/>
      <c r="D19" s="3903"/>
      <c r="E19" s="3902" t="e">
        <f t="shared" si="0"/>
        <v>#DIV/0!</v>
      </c>
      <c r="F19" s="3902" t="e">
        <f t="shared" si="1"/>
        <v>#DIV/0!</v>
      </c>
      <c r="G19" s="3903"/>
      <c r="H19" s="3903"/>
      <c r="I19" s="3903"/>
      <c r="J19" s="2119"/>
      <c r="K19" s="2119"/>
    </row>
    <row r="20" spans="1:11" ht="15.6">
      <c r="A20" s="2004" t="s">
        <v>632</v>
      </c>
      <c r="B20" s="3903"/>
      <c r="C20" s="3903"/>
      <c r="D20" s="3903"/>
      <c r="E20" s="3902" t="e">
        <f t="shared" si="0"/>
        <v>#DIV/0!</v>
      </c>
      <c r="F20" s="3902" t="e">
        <f t="shared" si="1"/>
        <v>#DIV/0!</v>
      </c>
      <c r="G20" s="3903"/>
      <c r="H20" s="3903"/>
      <c r="I20" s="3903"/>
      <c r="J20" s="2119"/>
      <c r="K20" s="2119"/>
    </row>
    <row r="21" spans="1:11" ht="15.6">
      <c r="A21" s="2004" t="s">
        <v>631</v>
      </c>
      <c r="B21" s="3903"/>
      <c r="C21" s="3903"/>
      <c r="D21" s="3903"/>
      <c r="E21" s="3902" t="e">
        <f t="shared" si="0"/>
        <v>#DIV/0!</v>
      </c>
      <c r="F21" s="3902" t="e">
        <f t="shared" si="1"/>
        <v>#DIV/0!</v>
      </c>
      <c r="G21" s="3903"/>
      <c r="H21" s="3903"/>
      <c r="I21" s="3903"/>
      <c r="J21" s="2119"/>
      <c r="K21" s="2119"/>
    </row>
    <row r="22" spans="1:11" ht="15.6">
      <c r="A22" s="2004" t="s">
        <v>630</v>
      </c>
      <c r="B22" s="3903"/>
      <c r="C22" s="3903"/>
      <c r="D22" s="3903"/>
      <c r="E22" s="3902" t="e">
        <f t="shared" si="0"/>
        <v>#DIV/0!</v>
      </c>
      <c r="F22" s="3902" t="e">
        <f t="shared" si="1"/>
        <v>#DIV/0!</v>
      </c>
      <c r="G22" s="3903"/>
      <c r="H22" s="3903"/>
      <c r="I22" s="3903"/>
      <c r="J22" s="2119"/>
      <c r="K22" s="2119"/>
    </row>
    <row r="23" spans="1:11" ht="15.6">
      <c r="A23" s="2004" t="s">
        <v>629</v>
      </c>
      <c r="B23" s="3903"/>
      <c r="C23" s="3903"/>
      <c r="D23" s="3903"/>
      <c r="E23" s="3905" t="e">
        <f t="shared" si="0"/>
        <v>#DIV/0!</v>
      </c>
      <c r="F23" s="3905" t="e">
        <f t="shared" si="1"/>
        <v>#DIV/0!</v>
      </c>
      <c r="G23" s="3903"/>
      <c r="H23" s="3903"/>
      <c r="I23" s="3903"/>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17" sqref="F17"/>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1240</v>
      </c>
      <c r="B1" s="1336"/>
      <c r="C1" s="1337" t="s">
        <v>3218</v>
      </c>
      <c r="D1" s="1336"/>
      <c r="E1" s="1336"/>
      <c r="F1" s="1338" t="s">
        <v>1241</v>
      </c>
      <c r="G1" s="1167"/>
      <c r="H1" s="1339" t="str">
        <f>IF(G1="现房","——","估价对象范围")</f>
        <v>估价对象范围</v>
      </c>
      <c r="I1" s="1340"/>
    </row>
    <row r="2" spans="1:12" ht="21.75" customHeight="1" thickBot="1">
      <c r="A2" s="4796" t="str">
        <f>项目基本情况!S2</f>
        <v>北京市房地产</v>
      </c>
      <c r="B2" s="4797"/>
      <c r="C2" s="4797"/>
      <c r="D2" s="4797"/>
      <c r="E2" s="4797"/>
      <c r="F2" s="4797"/>
      <c r="G2" s="4797"/>
      <c r="H2" s="4797"/>
      <c r="I2" s="4798"/>
    </row>
    <row r="3" spans="1:12" ht="13.2">
      <c r="A3" s="4800" t="s">
        <v>1242</v>
      </c>
      <c r="B3" s="4801"/>
      <c r="C3" s="4801"/>
      <c r="D3" s="4801"/>
      <c r="E3" s="4801"/>
      <c r="F3" s="4801"/>
      <c r="G3" s="4801"/>
      <c r="H3" s="4801"/>
      <c r="I3" s="4801"/>
    </row>
    <row r="4" spans="1:12" ht="14.4">
      <c r="A4" s="1343" t="s">
        <v>1243</v>
      </c>
      <c r="B4" s="1344" t="s">
        <v>1244</v>
      </c>
      <c r="C4" s="3815" t="s">
        <v>4083</v>
      </c>
      <c r="D4" s="3815" t="s">
        <v>4112</v>
      </c>
      <c r="E4" s="4805" t="s">
        <v>1245</v>
      </c>
      <c r="F4" s="4806"/>
      <c r="G4" s="4806"/>
      <c r="H4" s="4806"/>
      <c r="I4" s="4807"/>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比较法</v>
      </c>
    </row>
    <row r="5" spans="1:12" ht="13.2">
      <c r="A5" s="4788" t="s">
        <v>1246</v>
      </c>
      <c r="B5" s="4766">
        <v>25</v>
      </c>
      <c r="C5" s="4802">
        <v>2</v>
      </c>
      <c r="D5" s="4799">
        <f>10-C5</f>
        <v>8</v>
      </c>
      <c r="E5" s="53" t="s">
        <v>1247</v>
      </c>
      <c r="F5" s="1345"/>
      <c r="G5" s="1345"/>
      <c r="H5" s="1345"/>
      <c r="I5" s="980"/>
    </row>
    <row r="6" spans="1:12" ht="13.2">
      <c r="A6" s="4788"/>
      <c r="B6" s="4766"/>
      <c r="C6" s="4804"/>
      <c r="D6" s="4799"/>
      <c r="E6" s="53" t="s">
        <v>1248</v>
      </c>
      <c r="F6" s="1345"/>
      <c r="G6" s="1345"/>
      <c r="H6" s="1345"/>
      <c r="I6" s="980"/>
    </row>
    <row r="7" spans="1:12" ht="13.2">
      <c r="A7" s="4788"/>
      <c r="B7" s="4766"/>
      <c r="C7" s="4803"/>
      <c r="D7" s="4799"/>
      <c r="E7" s="53" t="s">
        <v>1249</v>
      </c>
      <c r="F7" s="1345"/>
      <c r="G7" s="1345"/>
      <c r="H7" s="1345"/>
      <c r="I7" s="980"/>
    </row>
    <row r="8" spans="1:12" ht="13.2">
      <c r="A8" s="4788" t="s">
        <v>1250</v>
      </c>
      <c r="B8" s="4766">
        <v>15</v>
      </c>
      <c r="C8" s="4802"/>
      <c r="D8" s="4799"/>
      <c r="E8" s="53" t="s">
        <v>1251</v>
      </c>
      <c r="F8" s="1345"/>
      <c r="G8" s="1345"/>
      <c r="H8" s="1345"/>
      <c r="I8" s="980"/>
    </row>
    <row r="9" spans="1:12" ht="13.2">
      <c r="A9" s="4788"/>
      <c r="B9" s="4766"/>
      <c r="C9" s="4803"/>
      <c r="D9" s="4799"/>
      <c r="E9" s="53" t="s">
        <v>1252</v>
      </c>
      <c r="F9" s="1345"/>
      <c r="G9" s="1345"/>
      <c r="H9" s="1345"/>
      <c r="I9" s="980"/>
    </row>
    <row r="10" spans="1:12" ht="13.2">
      <c r="A10" s="4788" t="s">
        <v>1253</v>
      </c>
      <c r="B10" s="4766">
        <v>15</v>
      </c>
      <c r="C10" s="4802"/>
      <c r="D10" s="4799"/>
      <c r="E10" s="53" t="s">
        <v>1254</v>
      </c>
      <c r="F10" s="1345"/>
      <c r="G10" s="1345"/>
      <c r="H10" s="1345"/>
      <c r="I10" s="980"/>
    </row>
    <row r="11" spans="1:12" ht="13.2">
      <c r="A11" s="4788"/>
      <c r="B11" s="4766"/>
      <c r="C11" s="4803"/>
      <c r="D11" s="4799"/>
      <c r="E11" s="53" t="s">
        <v>1255</v>
      </c>
      <c r="F11" s="1345"/>
      <c r="G11" s="1345"/>
      <c r="H11" s="1345"/>
      <c r="I11" s="980"/>
    </row>
    <row r="12" spans="1:12" ht="13.2">
      <c r="A12" s="4788" t="s">
        <v>1256</v>
      </c>
      <c r="B12" s="4766">
        <v>15</v>
      </c>
      <c r="C12" s="4802"/>
      <c r="D12" s="4799"/>
      <c r="E12" s="53" t="s">
        <v>1257</v>
      </c>
      <c r="F12" s="1345"/>
      <c r="G12" s="1345"/>
      <c r="H12" s="1345"/>
      <c r="I12" s="980"/>
    </row>
    <row r="13" spans="1:12" ht="13.2">
      <c r="A13" s="4788"/>
      <c r="B13" s="4766"/>
      <c r="C13" s="4803"/>
      <c r="D13" s="4799"/>
      <c r="E13" s="53" t="s">
        <v>1258</v>
      </c>
      <c r="F13" s="1345"/>
      <c r="G13" s="1345"/>
      <c r="H13" s="1345"/>
      <c r="I13" s="980"/>
    </row>
    <row r="14" spans="1:12" ht="13.2">
      <c r="A14" s="4788" t="s">
        <v>1259</v>
      </c>
      <c r="B14" s="4766">
        <v>30</v>
      </c>
      <c r="C14" s="4802"/>
      <c r="D14" s="4799"/>
      <c r="E14" s="53" t="s">
        <v>1260</v>
      </c>
      <c r="F14" s="1345"/>
      <c r="G14" s="1345"/>
      <c r="H14" s="1345"/>
      <c r="I14" s="980"/>
    </row>
    <row r="15" spans="1:12" ht="13.2">
      <c r="A15" s="4788"/>
      <c r="B15" s="4766"/>
      <c r="C15" s="4804"/>
      <c r="D15" s="4799"/>
      <c r="E15" s="53" t="s">
        <v>1261</v>
      </c>
      <c r="F15" s="1345"/>
      <c r="G15" s="1345"/>
      <c r="H15" s="1345"/>
      <c r="I15" s="980"/>
    </row>
    <row r="16" spans="1:12" ht="13.2">
      <c r="A16" s="4788"/>
      <c r="B16" s="4766"/>
      <c r="C16" s="4803"/>
      <c r="D16" s="4799"/>
      <c r="E16" s="53" t="s">
        <v>1262</v>
      </c>
      <c r="F16" s="1345"/>
      <c r="G16" s="1345"/>
      <c r="H16" s="1345"/>
      <c r="I16" s="980"/>
    </row>
    <row r="17" spans="1:36" ht="14.4">
      <c r="A17" s="1346" t="s">
        <v>1263</v>
      </c>
      <c r="B17" s="3814"/>
      <c r="C17" s="3909">
        <f>SUM(C5:C16)</f>
        <v>2</v>
      </c>
      <c r="D17" s="3909">
        <f>SUM(D5:D16)</f>
        <v>8</v>
      </c>
      <c r="E17" s="51"/>
      <c r="F17" s="51"/>
      <c r="G17" s="51"/>
      <c r="H17" s="51"/>
      <c r="I17" s="51"/>
      <c r="K17" s="190"/>
      <c r="L17" s="190" t="s">
        <v>1264</v>
      </c>
      <c r="M17" s="190" t="s">
        <v>1265</v>
      </c>
    </row>
    <row r="18" spans="1:36" ht="31.95" customHeight="1" thickBot="1">
      <c r="A18" s="1347" t="s">
        <v>1266</v>
      </c>
      <c r="B18" s="1348"/>
      <c r="C18" s="3910">
        <f>ROUND(C17/SUM(C17:D17),2)</f>
        <v>0.2</v>
      </c>
      <c r="D18" s="3910">
        <f>1-C18</f>
        <v>0.8</v>
      </c>
      <c r="E18" s="4827" t="s">
        <v>2033</v>
      </c>
      <c r="F18" s="4828"/>
      <c r="G18" s="4828"/>
      <c r="H18" s="4828"/>
      <c r="I18" s="4828"/>
      <c r="K18" s="190" t="s">
        <v>1267</v>
      </c>
      <c r="L18" s="3921">
        <f>IF(C1="",'数据-汇总表'!E3,SUMIF(项目类型,C1,'数据-汇总表'!E17:E26)+SUMIF(项目类型,C1,'数据-汇总表'!I17:I26))</f>
        <v>42.16</v>
      </c>
      <c r="M18" s="3921">
        <f>IF(C1="",'数据-汇总表'!E3,SUMIF(项目类型,C1,'数据-汇总表'!E17:E26))</f>
        <v>42.16</v>
      </c>
    </row>
    <row r="19" spans="1:36" ht="14.4">
      <c r="A19" s="1349" t="s">
        <v>1268</v>
      </c>
      <c r="B19" s="1350" t="s">
        <v>1269</v>
      </c>
      <c r="C19" s="3911">
        <f ca="1">SUMIF(INDIRECT("'"&amp;C4&amp;"'"&amp;"!A:A"),结果表!B19,INDIRECT("'"&amp;C4&amp;"'"&amp;"!B:B"))</f>
        <v>28.303899999999999</v>
      </c>
      <c r="D19" s="3912">
        <f>'比较法-车位'!C39/10000</f>
        <v>8.9778000000000002</v>
      </c>
      <c r="E19" s="1349" t="s">
        <v>1270</v>
      </c>
      <c r="F19" s="1350" t="s">
        <v>1269</v>
      </c>
      <c r="G19" s="3917">
        <f ca="1">ROUND(C19*$C$18+D19*$D$18,4)</f>
        <v>12.843</v>
      </c>
      <c r="H19" s="1351" t="s">
        <v>1271</v>
      </c>
      <c r="I19" s="3920">
        <f ca="1">ROUND(C19*$C$18+D19*$D$18,4)</f>
        <v>12.843</v>
      </c>
      <c r="K19" s="190" t="s">
        <v>1272</v>
      </c>
      <c r="L19" s="3921">
        <f>IF(C1="",'数据-汇总表'!D3,SUMIF(项目类型,C1,'数据-汇总表'!D17:D26)+SUMIF(项目类型,C1,'数据-汇总表'!H17:H27))</f>
        <v>0</v>
      </c>
      <c r="M19" s="3921">
        <f>IF(C1="",'数据-汇总表'!D3,SUMIF(项目类型,C1,'数据-汇总表'!D17:D26))</f>
        <v>0</v>
      </c>
    </row>
    <row r="20" spans="1:36" ht="14.4">
      <c r="A20" s="1352"/>
      <c r="B20" s="714" t="s">
        <v>1273</v>
      </c>
      <c r="C20" s="3913">
        <f ca="1">SUMIF(INDIRECT("'"&amp;C4&amp;"'"&amp;"!A:A"),结果表!B20,INDIRECT("'"&amp;C4&amp;"'"&amp;"!B:B"))</f>
        <v>6713</v>
      </c>
      <c r="D20" s="3914">
        <f>ROUND(D19*10000/'比较法-车位'!C31,0)</f>
        <v>2129</v>
      </c>
      <c r="E20" s="1352"/>
      <c r="F20" s="714" t="s">
        <v>1273</v>
      </c>
      <c r="G20" s="3918">
        <f ca="1">ROUND(C20*$C$18+D20*$D$18,0)</f>
        <v>3046</v>
      </c>
      <c r="H20" s="556" t="s">
        <v>1274</v>
      </c>
      <c r="I20" s="51"/>
    </row>
    <row r="21" spans="1:36" ht="15" customHeight="1" thickBot="1">
      <c r="A21" s="562"/>
      <c r="B21" s="3645" t="s">
        <v>3626</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2"/>
      <c r="D22" s="4229">
        <f ca="1">IF(C19&lt;D19,D19/C19-1,C19/D19-1)</f>
        <v>2.1526543251130565</v>
      </c>
      <c r="E22" s="3636"/>
      <c r="F22" s="3638"/>
      <c r="G22" s="3919" t="e">
        <f ca="1">ROUND(G19/('数据-汇总表'!D3/666.67),0)</f>
        <v>#DIV/0!</v>
      </c>
      <c r="H22" s="3637" t="s">
        <v>3624</v>
      </c>
      <c r="I22" s="51"/>
    </row>
    <row r="23" spans="1:36" ht="13.8" thickBot="1">
      <c r="A23" s="1336"/>
      <c r="B23" s="1336"/>
      <c r="C23" s="1336"/>
      <c r="D23" s="1336"/>
      <c r="E23" s="51"/>
      <c r="F23" s="51"/>
      <c r="G23" s="51"/>
      <c r="H23" s="51"/>
      <c r="I23" s="51"/>
    </row>
    <row r="24" spans="1:36" ht="14.4">
      <c r="A24" s="4773" t="s">
        <v>1277</v>
      </c>
      <c r="B24" s="1350" t="s">
        <v>1269</v>
      </c>
      <c r="C24" s="3917">
        <f>IF(B30=0,0,D30)</f>
        <v>0</v>
      </c>
      <c r="D24" s="3922"/>
      <c r="E24" s="51"/>
      <c r="F24" s="51"/>
      <c r="G24" s="51"/>
      <c r="H24" s="51"/>
      <c r="I24" s="51"/>
    </row>
    <row r="25" spans="1:36" ht="14.4">
      <c r="A25" s="4774"/>
      <c r="B25" s="3646" t="s">
        <v>3627</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3.8">
      <c r="A27" s="3925"/>
      <c r="B27" s="3926">
        <v>0</v>
      </c>
      <c r="C27" s="3926">
        <v>0</v>
      </c>
      <c r="D27" s="3927">
        <f>ROUND(C27*B27/10000,0)</f>
        <v>0</v>
      </c>
      <c r="E27" s="51"/>
      <c r="F27" s="51"/>
      <c r="G27" s="51"/>
      <c r="H27" s="51"/>
      <c r="I27" s="51"/>
    </row>
    <row r="28" spans="1:36" ht="13.8">
      <c r="A28" s="3925"/>
      <c r="B28" s="3926"/>
      <c r="C28" s="3926"/>
      <c r="D28" s="3927"/>
      <c r="E28" s="51"/>
      <c r="F28" s="51"/>
      <c r="G28" s="51"/>
      <c r="H28" s="51"/>
      <c r="I28" s="51"/>
    </row>
    <row r="29" spans="1:36" ht="13.8">
      <c r="A29" s="3925"/>
      <c r="B29" s="3926"/>
      <c r="C29" s="3926"/>
      <c r="D29" s="3927"/>
      <c r="E29" s="51"/>
      <c r="F29" s="51"/>
      <c r="G29" s="51"/>
      <c r="H29" s="51"/>
      <c r="I29" s="51"/>
    </row>
    <row r="30" spans="1:36" ht="15" thickBot="1">
      <c r="A30" s="57" t="s">
        <v>1282</v>
      </c>
      <c r="B30" s="3926"/>
      <c r="C30" s="3926"/>
      <c r="D30" s="3926"/>
      <c r="E30" s="1809" t="s">
        <v>2034</v>
      </c>
      <c r="F30" s="51"/>
      <c r="G30" s="51"/>
      <c r="H30" s="51"/>
      <c r="I30" s="51"/>
    </row>
    <row r="31" spans="1:36" s="1815" customFormat="1" ht="26.4"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1283</v>
      </c>
      <c r="B32" s="1357"/>
      <c r="C32" s="3928">
        <f ca="1">IF(D32="总价",G19-C24,G20-C25)</f>
        <v>3046</v>
      </c>
      <c r="D32" s="1358"/>
      <c r="E32" s="51"/>
      <c r="F32" s="51"/>
      <c r="G32" s="51"/>
      <c r="H32" s="51"/>
      <c r="I32" s="51"/>
    </row>
    <row r="33" spans="1:19" ht="14.4">
      <c r="A33" s="543" t="s">
        <v>1284</v>
      </c>
      <c r="B33" s="1359"/>
      <c r="C33" s="1360"/>
      <c r="D33" s="1361"/>
      <c r="E33" s="1362" t="s">
        <v>1285</v>
      </c>
      <c r="F33" s="1363" t="str">
        <f>IF(D32="楼面单价","取值（单价）","取值（总价）")</f>
        <v>取值（总价）</v>
      </c>
      <c r="G33" s="51"/>
      <c r="H33" s="51"/>
      <c r="I33" s="51"/>
    </row>
    <row r="34" spans="1:19" ht="14.4">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 thickBot="1">
      <c r="A36" s="4791" t="s">
        <v>1290</v>
      </c>
      <c r="B36" s="1370" t="s">
        <v>1291</v>
      </c>
      <c r="C36" s="3933"/>
      <c r="D36" s="1371"/>
      <c r="E36" s="1372"/>
      <c r="F36" s="1373"/>
      <c r="G36" s="51"/>
      <c r="H36" s="51"/>
      <c r="I36" s="51"/>
    </row>
    <row r="37" spans="1:19" ht="15" thickBot="1">
      <c r="A37" s="4792"/>
      <c r="B37" s="1268" t="s">
        <v>1292</v>
      </c>
      <c r="C37" s="3934"/>
      <c r="D37" s="804"/>
      <c r="E37" s="804"/>
      <c r="F37" s="1373"/>
      <c r="G37" s="51"/>
      <c r="H37" s="51"/>
      <c r="I37" s="51"/>
    </row>
    <row r="38" spans="1:19" ht="15" thickBot="1">
      <c r="A38" s="4793"/>
      <c r="B38" s="1374" t="s">
        <v>1293</v>
      </c>
      <c r="C38" s="3935"/>
      <c r="D38" s="1375" t="s">
        <v>1294</v>
      </c>
      <c r="E38" s="804"/>
      <c r="F38" s="1373"/>
      <c r="G38" s="51"/>
      <c r="H38" s="51"/>
      <c r="I38" s="51"/>
    </row>
    <row r="39" spans="1:19" ht="14.4">
      <c r="A39" s="1352" t="s">
        <v>1295</v>
      </c>
      <c r="B39" s="1376" t="s">
        <v>1296</v>
      </c>
      <c r="C39" s="1377" t="s">
        <v>1297</v>
      </c>
      <c r="D39" s="1377" t="s">
        <v>1298</v>
      </c>
      <c r="E39" s="1378" t="s">
        <v>1299</v>
      </c>
      <c r="F39" s="1373"/>
      <c r="G39" s="51"/>
      <c r="H39" s="51"/>
      <c r="I39" s="51"/>
    </row>
    <row r="40" spans="1:19" ht="13.8">
      <c r="A40" s="1379" t="s">
        <v>1300</v>
      </c>
      <c r="B40" s="3936"/>
      <c r="C40" s="3937"/>
      <c r="D40" s="3937"/>
      <c r="E40" s="3938"/>
      <c r="F40" s="1373"/>
      <c r="G40" s="51"/>
      <c r="H40" s="51"/>
      <c r="I40" s="51"/>
    </row>
    <row r="41" spans="1:19" ht="13.8">
      <c r="A41" s="1379" t="s">
        <v>1301</v>
      </c>
      <c r="B41" s="3936"/>
      <c r="C41" s="3937"/>
      <c r="D41" s="3937"/>
      <c r="E41" s="3938"/>
      <c r="F41" s="1373"/>
      <c r="G41" s="51"/>
      <c r="H41" s="51"/>
      <c r="I41" s="51"/>
    </row>
    <row r="42" spans="1:19" ht="14.4" thickBot="1">
      <c r="A42" s="1380"/>
      <c r="B42" s="3939"/>
      <c r="C42" s="3940"/>
      <c r="D42" s="3940"/>
      <c r="E42" s="3932"/>
      <c r="F42" s="1373"/>
      <c r="G42" s="51"/>
      <c r="H42" s="51"/>
      <c r="I42" s="51"/>
    </row>
    <row r="43" spans="1:19" ht="13.2">
      <c r="A43" s="1182"/>
      <c r="B43" s="1182"/>
      <c r="C43" s="1182"/>
      <c r="D43" s="1182"/>
      <c r="E43" s="1182"/>
      <c r="F43" s="1381"/>
      <c r="G43" s="1381"/>
      <c r="H43" s="1381"/>
      <c r="I43" s="1382"/>
    </row>
    <row r="44" spans="1:19" ht="17.399999999999999">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70" t="s">
        <v>1304</v>
      </c>
      <c r="B45" s="4771"/>
      <c r="C45" s="4772"/>
      <c r="D45" s="3941">
        <f ca="1">ROUND(H101*F45,0)</f>
        <v>13</v>
      </c>
      <c r="E45" s="61" t="s">
        <v>1305</v>
      </c>
      <c r="F45" s="62">
        <v>1</v>
      </c>
      <c r="G45" s="63" t="s">
        <v>1306</v>
      </c>
      <c r="H45" s="51"/>
      <c r="I45" s="51"/>
      <c r="J45" s="4782" t="s">
        <v>1307</v>
      </c>
      <c r="K45" s="4782"/>
      <c r="L45" s="4782"/>
      <c r="M45" s="4782"/>
      <c r="N45" s="4782"/>
      <c r="O45" s="4782"/>
    </row>
    <row r="46" spans="1:19" ht="14.25" customHeight="1">
      <c r="A46" s="4767" t="s">
        <v>1308</v>
      </c>
      <c r="B46" s="4768"/>
      <c r="C46" s="4768"/>
      <c r="D46" s="4768"/>
      <c r="E46" s="4768"/>
      <c r="F46" s="4768"/>
      <c r="G46" s="4769"/>
      <c r="H46" s="1389"/>
      <c r="I46" s="64"/>
      <c r="J46" s="2007">
        <v>1</v>
      </c>
      <c r="K46" s="4783" t="s">
        <v>1309</v>
      </c>
      <c r="L46" s="4783"/>
      <c r="M46" s="4784"/>
      <c r="N46" s="4784"/>
      <c r="O46" s="4784"/>
    </row>
    <row r="47" spans="1:19" ht="12" customHeight="1">
      <c r="A47" s="65" t="s">
        <v>1310</v>
      </c>
      <c r="B47" s="66"/>
      <c r="C47" s="67"/>
      <c r="D47" s="762" t="s">
        <v>1311</v>
      </c>
      <c r="E47" s="190" t="s">
        <v>1312</v>
      </c>
      <c r="F47" s="68" t="s">
        <v>1313</v>
      </c>
      <c r="G47" s="2022" t="s">
        <v>1314</v>
      </c>
      <c r="H47" s="2023"/>
      <c r="I47" s="64"/>
      <c r="J47" s="2007">
        <v>2</v>
      </c>
      <c r="K47" s="4783" t="s">
        <v>1315</v>
      </c>
      <c r="L47" s="4783"/>
      <c r="M47" s="4785">
        <f>'数据-取费表'!B2</f>
        <v>46093</v>
      </c>
      <c r="N47" s="4785"/>
      <c r="O47" s="4785"/>
    </row>
    <row r="48" spans="1:19" ht="26.4">
      <c r="A48" s="4794" t="s">
        <v>1316</v>
      </c>
      <c r="B48" s="4795"/>
      <c r="C48" s="4795"/>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83" t="s">
        <v>1318</v>
      </c>
      <c r="L48" s="4783"/>
      <c r="M48" s="4786">
        <f ca="1">H101</f>
        <v>12.841900000000001</v>
      </c>
      <c r="N48" s="4786"/>
      <c r="O48" s="4786"/>
      <c r="R48" s="3664" t="s">
        <v>3641</v>
      </c>
      <c r="S48" s="3665"/>
    </row>
    <row r="49" spans="1:35" ht="25.5" customHeight="1">
      <c r="A49" s="3808" t="s">
        <v>1319</v>
      </c>
      <c r="B49" s="4765" t="s">
        <v>1320</v>
      </c>
      <c r="C49" s="4765"/>
      <c r="D49" s="3943">
        <v>0</v>
      </c>
      <c r="E49" s="211" t="s">
        <v>1321</v>
      </c>
      <c r="F49" s="3799" t="s">
        <v>26</v>
      </c>
      <c r="G49" s="4837"/>
      <c r="H49" s="3657" t="s">
        <v>2036</v>
      </c>
      <c r="I49" s="3658"/>
      <c r="J49" s="2007">
        <v>4</v>
      </c>
      <c r="K49" s="4783" t="str">
        <f>IF(项目基本情况!E8="房地产抵押价值","房地产抵押价值","抵押担保权已注销时的房地产抵押价值")</f>
        <v>抵押担保权已注销时的房地产抵押价值</v>
      </c>
      <c r="L49" s="4783"/>
      <c r="M49" s="4786" t="str">
        <f>IF(项目基本情况!E8="房地产抵押价值",H107,H109)</f>
        <v>——</v>
      </c>
      <c r="N49" s="4786"/>
      <c r="O49" s="4786"/>
      <c r="R49" s="3666" t="s">
        <v>3642</v>
      </c>
      <c r="S49" s="3664" t="s">
        <v>3643</v>
      </c>
    </row>
    <row r="50" spans="1:35" ht="25.5" customHeight="1">
      <c r="A50" s="3809"/>
      <c r="B50" s="4765" t="s">
        <v>1322</v>
      </c>
      <c r="C50" s="4765"/>
      <c r="D50" s="3944"/>
      <c r="E50" s="219"/>
      <c r="F50" s="3799"/>
      <c r="G50" s="4838"/>
      <c r="H50" s="3659" t="s">
        <v>2037</v>
      </c>
      <c r="I50" s="3658"/>
      <c r="J50" s="4782" t="s">
        <v>1323</v>
      </c>
      <c r="K50" s="4782"/>
      <c r="L50" s="4782"/>
      <c r="M50" s="4782"/>
      <c r="N50" s="4782"/>
      <c r="O50" s="4782"/>
      <c r="R50" s="3666" t="s">
        <v>3644</v>
      </c>
      <c r="S50" s="3664" t="s">
        <v>3645</v>
      </c>
    </row>
    <row r="51" spans="1:35" ht="20.399999999999999" customHeight="1">
      <c r="A51" s="3810"/>
      <c r="B51" s="4765" t="s">
        <v>1324</v>
      </c>
      <c r="C51" s="4765"/>
      <c r="D51" s="3945"/>
      <c r="E51" s="214"/>
      <c r="F51" s="3799"/>
      <c r="G51" s="4839"/>
      <c r="H51" s="3659" t="s">
        <v>2038</v>
      </c>
      <c r="I51" s="3658"/>
      <c r="J51" s="2008" t="s">
        <v>1325</v>
      </c>
      <c r="K51" s="4783" t="s">
        <v>1326</v>
      </c>
      <c r="L51" s="4783"/>
      <c r="M51" s="2008" t="s">
        <v>1327</v>
      </c>
      <c r="N51" s="2008" t="s">
        <v>1328</v>
      </c>
      <c r="O51" s="2008" t="s">
        <v>1329</v>
      </c>
      <c r="R51" s="3666" t="s">
        <v>3646</v>
      </c>
      <c r="S51" s="3665" t="s">
        <v>3647</v>
      </c>
    </row>
    <row r="52" spans="1:35" ht="24" customHeight="1">
      <c r="A52" s="3800" t="s">
        <v>1330</v>
      </c>
      <c r="B52" s="4765" t="s">
        <v>1331</v>
      </c>
      <c r="C52" s="4765"/>
      <c r="D52" s="3945">
        <f ca="1">ROUND(D45*F52/(1+F52),0)</f>
        <v>0</v>
      </c>
      <c r="E52" s="3801" t="s">
        <v>1332</v>
      </c>
      <c r="F52" s="2026">
        <v>0.03</v>
      </c>
      <c r="G52" s="947" t="s">
        <v>3688</v>
      </c>
      <c r="H52" s="2020"/>
      <c r="I52" s="1390"/>
      <c r="J52" s="2007">
        <v>1</v>
      </c>
      <c r="K52" s="4787" t="s">
        <v>1333</v>
      </c>
      <c r="L52" s="4787"/>
      <c r="M52" s="3947">
        <f>IF(D48&lt;=0,0,D48)</f>
        <v>0</v>
      </c>
      <c r="N52" s="2007" t="str">
        <f>E48</f>
        <v>销售额×税（费）率</v>
      </c>
      <c r="O52" s="3836">
        <f>F48</f>
        <v>0</v>
      </c>
      <c r="R52" s="3664" t="s">
        <v>3648</v>
      </c>
      <c r="S52" s="3664" t="s">
        <v>3652</v>
      </c>
    </row>
    <row r="53" spans="1:35" ht="12" customHeight="1">
      <c r="A53" s="3800" t="s">
        <v>1334</v>
      </c>
      <c r="B53" s="4789" t="s">
        <v>2193</v>
      </c>
      <c r="C53" s="4790"/>
      <c r="D53" s="3945">
        <f ca="1">IF(G53="2016年5月1日之前项目",ROUND(D45*F53/(1+F53),0),H63)</f>
        <v>1</v>
      </c>
      <c r="E53" s="3801" t="str">
        <f>IF(G53="2016年5月1日之前项目","全额计税","进销项计算")</f>
        <v>进销项计算</v>
      </c>
      <c r="F53" s="2026">
        <f>IF(G53="2016年5月1日之前项目",5%,9%)</f>
        <v>0.09</v>
      </c>
      <c r="G53" s="3900"/>
      <c r="H53" s="2020"/>
      <c r="I53" s="1390"/>
      <c r="J53" s="2007">
        <v>2</v>
      </c>
      <c r="K53" s="4787" t="s">
        <v>1335</v>
      </c>
      <c r="L53" s="4787"/>
      <c r="M53" s="3947">
        <f t="shared" ref="M53:O54" ca="1" si="0">D55</f>
        <v>0</v>
      </c>
      <c r="N53" s="2007" t="str">
        <f t="shared" si="0"/>
        <v>销售额×税（费）率</v>
      </c>
      <c r="O53" s="3836" t="str">
        <f t="shared" si="0"/>
        <v>免征</v>
      </c>
      <c r="R53" s="3664" t="s">
        <v>3649</v>
      </c>
      <c r="S53" s="3665" t="s">
        <v>3656</v>
      </c>
    </row>
    <row r="54" spans="1:35" ht="12" customHeight="1">
      <c r="A54" s="3800" t="s">
        <v>1336</v>
      </c>
      <c r="B54" s="4789" t="s">
        <v>2194</v>
      </c>
      <c r="C54" s="4790"/>
      <c r="D54" s="3945">
        <f ca="1">IF(G54="2016年5月1日之前项目",C68,H63)</f>
        <v>1</v>
      </c>
      <c r="E54" s="3822" t="str">
        <f>IF(G54="2016年5月1日之前项目","差额计税","进销项计算")</f>
        <v>进销项计算</v>
      </c>
      <c r="F54" s="2026">
        <f>IF(G54="2016年5月1日之前项目",5%,9%)</f>
        <v>0.09</v>
      </c>
      <c r="G54" s="3900"/>
      <c r="H54" s="2028"/>
      <c r="I54" s="1390"/>
      <c r="J54" s="2007">
        <v>3</v>
      </c>
      <c r="K54" s="4787" t="s">
        <v>1337</v>
      </c>
      <c r="L54" s="4787"/>
      <c r="M54" s="3947" t="e">
        <f t="shared" ca="1" si="0"/>
        <v>#VALUE!</v>
      </c>
      <c r="N54" s="2007" t="str">
        <f t="shared" si="0"/>
        <v>增值额×税（费）率</v>
      </c>
      <c r="O54" s="3837" t="str">
        <f t="shared" si="0"/>
        <v>免征</v>
      </c>
      <c r="P54" s="51"/>
      <c r="R54" s="3666" t="s">
        <v>3650</v>
      </c>
      <c r="S54" s="3665" t="s">
        <v>3653</v>
      </c>
    </row>
    <row r="55" spans="1:35" ht="24" customHeight="1">
      <c r="A55" s="4822" t="s">
        <v>1338</v>
      </c>
      <c r="B55" s="4795"/>
      <c r="C55" s="4795"/>
      <c r="D55" s="3942">
        <f ca="1">IF(H55="个人住宅",0,ROUND(D45*I55,0))</f>
        <v>0</v>
      </c>
      <c r="E55" s="3801" t="s">
        <v>1339</v>
      </c>
      <c r="F55" s="2026" t="str">
        <f>IF(H55="正常",I55,"免征")</f>
        <v>免征</v>
      </c>
      <c r="G55" s="2027"/>
      <c r="H55" s="2025"/>
      <c r="I55" s="69">
        <f>'数据-取费表'!B50</f>
        <v>5.0000000000000001E-4</v>
      </c>
      <c r="J55" s="2007">
        <f>IF(H59="非个人房产","",4)</f>
        <v>4</v>
      </c>
      <c r="K55" s="4787" t="str">
        <f>IF(H59="非个人房产","——","个人所得税")</f>
        <v>个人所得税</v>
      </c>
      <c r="L55" s="4787"/>
      <c r="M55" s="3948">
        <f ca="1">D59</f>
        <v>0</v>
      </c>
      <c r="N55" s="1588" t="str">
        <f>E59</f>
        <v>差额计税</v>
      </c>
      <c r="O55" s="3838">
        <f>F59</f>
        <v>0.01</v>
      </c>
      <c r="R55" s="3666" t="s">
        <v>3651</v>
      </c>
      <c r="S55" s="3665" t="s">
        <v>3654</v>
      </c>
    </row>
    <row r="56" spans="1:35" ht="25.2">
      <c r="A56" s="4822" t="s">
        <v>1340</v>
      </c>
      <c r="B56" s="4795"/>
      <c r="C56" s="4795"/>
      <c r="D56" s="4639" t="e">
        <f ca="1">IF(H56="个人住宅",D57,IF(H56="正常",D58,IF(H56="按预征率计算-自建",ROUND(C85*F56,0),ROUND(C72*F56,0))))</f>
        <v>#VALUE!</v>
      </c>
      <c r="E56" s="3801" t="s">
        <v>1341</v>
      </c>
      <c r="F56" s="2026" t="str">
        <f>IF(H56="正常",F58,IF(H56="按预征率计算",5%,"免征"))</f>
        <v>免征</v>
      </c>
      <c r="G56" s="2029" t="s">
        <v>1342</v>
      </c>
      <c r="H56" s="2030"/>
      <c r="I56" s="1391"/>
      <c r="J56" s="2007" t="str">
        <f>IF(项目基本情况!K6="上海银行",IF(J55="",4,J55+1),"")</f>
        <v/>
      </c>
      <c r="K56" s="4842" t="str">
        <f>IF(项目基本情况!K6="上海银行","其他处置费用","")</f>
        <v/>
      </c>
      <c r="L56" s="4843"/>
      <c r="M56" s="3947" t="str">
        <f>IF(项目基本情况!K6="上海银行",M69,"")</f>
        <v/>
      </c>
      <c r="N56" s="4842" t="str">
        <f>IF(项目基本情况!K6="上海银行","包含处置中涉及的律师、诉讼、拍卖、评估等费用","")</f>
        <v/>
      </c>
      <c r="O56" s="4846"/>
      <c r="R56" s="3665"/>
      <c r="S56" s="3665" t="s">
        <v>3655</v>
      </c>
    </row>
    <row r="57" spans="1:35" ht="13.2">
      <c r="A57" s="1829" t="s">
        <v>1319</v>
      </c>
      <c r="B57" s="4789" t="s">
        <v>1343</v>
      </c>
      <c r="C57" s="4790"/>
      <c r="D57" s="3943">
        <v>0</v>
      </c>
      <c r="E57" s="211" t="s">
        <v>1321</v>
      </c>
      <c r="F57" s="190"/>
      <c r="G57" s="2027"/>
      <c r="H57" s="2031"/>
      <c r="I57" s="1391"/>
      <c r="J57" s="4787">
        <f>IF(AND(J55="",J56=""),4,IF(项目基本情况!K6="上海银行",结果表!J56+1,结果表!J55+1))</f>
        <v>5</v>
      </c>
      <c r="K57" s="4787" t="s">
        <v>1344</v>
      </c>
      <c r="L57" s="2009" t="s">
        <v>1345</v>
      </c>
      <c r="M57" s="2010"/>
      <c r="N57" s="3949">
        <f ca="1">SUMIF(M52:M56,"&lt;9e307")</f>
        <v>0</v>
      </c>
      <c r="O57" s="2011"/>
      <c r="P57" s="2121" t="e">
        <f ca="1">N57/M49</f>
        <v>#VALUE!</v>
      </c>
      <c r="R57" s="4756" t="s">
        <v>3699</v>
      </c>
      <c r="S57" s="4757"/>
    </row>
    <row r="58" spans="1:35" ht="25.2">
      <c r="A58" s="1829" t="s">
        <v>1330</v>
      </c>
      <c r="B58" s="4789" t="s">
        <v>1346</v>
      </c>
      <c r="C58" s="4765"/>
      <c r="D58" s="3942">
        <f ca="1">IF(H58="转让取得",C81,C97)</f>
        <v>4</v>
      </c>
      <c r="E58" s="3801" t="s">
        <v>1341</v>
      </c>
      <c r="F58" s="190" t="s">
        <v>26</v>
      </c>
      <c r="G58" s="2027"/>
      <c r="H58" s="2030"/>
      <c r="I58" s="1391"/>
      <c r="J58" s="4787"/>
      <c r="K58" s="4787"/>
      <c r="L58" s="2009" t="s">
        <v>1347</v>
      </c>
      <c r="M58" s="2012"/>
      <c r="N58" s="2013" t="str">
        <f ca="1">NUMBERSTRING(INT(N57*10000),2)&amp;"元整"</f>
        <v>零元整</v>
      </c>
      <c r="O58" s="2014"/>
      <c r="R58" s="4758"/>
      <c r="S58" s="4759"/>
    </row>
    <row r="59" spans="1:35" ht="24.6" thickBot="1">
      <c r="A59" s="4835" t="s">
        <v>1348</v>
      </c>
      <c r="B59" s="4836"/>
      <c r="C59" s="4836"/>
      <c r="D59" s="3946">
        <f ca="1">IF(H59="非个人房产","——",IF(H59="个人住宅（满五唯一有凭证）",0,IF(H59="个人其他（无凭证）",ROUND(D45/(1+'数据-取费表'!C43)*F59,0),ROUND(C67*F59,0))))</f>
        <v>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2039</v>
      </c>
      <c r="J59" s="4833">
        <f>J57+1</f>
        <v>6</v>
      </c>
      <c r="K59" s="4787" t="s">
        <v>1349</v>
      </c>
      <c r="L59" s="2007" t="s">
        <v>1345</v>
      </c>
      <c r="M59" s="2015"/>
      <c r="N59" s="2823" t="e">
        <f ca="1">M49-N57</f>
        <v>#VALUE!</v>
      </c>
      <c r="O59" s="2016"/>
      <c r="R59" s="3664" t="s">
        <v>3657</v>
      </c>
      <c r="S59" s="3664" t="s">
        <v>3658</v>
      </c>
    </row>
    <row r="60" spans="1:35" ht="12" customHeight="1" thickBot="1">
      <c r="A60" s="1392"/>
      <c r="B60" s="1336"/>
      <c r="C60" s="1336"/>
      <c r="D60" s="1336"/>
      <c r="E60" s="1183"/>
      <c r="F60" s="1391"/>
      <c r="G60" s="1391"/>
      <c r="H60" s="1393"/>
      <c r="I60" s="51"/>
      <c r="J60" s="4834"/>
      <c r="K60" s="4787"/>
      <c r="L60" s="2009" t="s">
        <v>1347</v>
      </c>
      <c r="M60" s="2012"/>
      <c r="N60" s="2824" t="e">
        <f ca="1">NUMBERSTRING(INT(N59*10000),2)&amp;"元整"</f>
        <v>#VALUE!</v>
      </c>
      <c r="O60" s="2014"/>
      <c r="R60" s="3664" t="s">
        <v>3659</v>
      </c>
      <c r="S60" s="3664" t="s">
        <v>3698</v>
      </c>
    </row>
    <row r="61" spans="1:35" ht="15" thickBot="1">
      <c r="A61" s="4763" t="s">
        <v>3696</v>
      </c>
      <c r="B61" s="4764"/>
      <c r="C61" s="4764"/>
      <c r="D61" s="4764"/>
      <c r="E61" s="3828"/>
      <c r="F61" s="4829" t="s">
        <v>3697</v>
      </c>
      <c r="G61" s="4830"/>
      <c r="H61" s="4830"/>
      <c r="I61" s="4831"/>
      <c r="J61" s="3811">
        <f>J59+1</f>
        <v>7</v>
      </c>
      <c r="K61" s="4787" t="s">
        <v>1350</v>
      </c>
      <c r="L61" s="4787"/>
      <c r="M61" s="2017"/>
      <c r="N61" s="2825" t="e">
        <f ca="1">ROUND(N59*10000/'数据-汇总表'!E3,0)</f>
        <v>#VALUE!</v>
      </c>
      <c r="O61" s="2018"/>
    </row>
    <row r="62" spans="1:35" ht="13.5" customHeight="1">
      <c r="A62" s="3834" t="s">
        <v>3709</v>
      </c>
      <c r="B62" s="3835" t="s">
        <v>3710</v>
      </c>
      <c r="C62" s="3823" t="s">
        <v>3708</v>
      </c>
      <c r="D62" s="3824" t="s">
        <v>3700</v>
      </c>
      <c r="E62" s="3829" t="s">
        <v>3702</v>
      </c>
      <c r="F62" s="3840" t="s">
        <v>3711</v>
      </c>
      <c r="G62" s="3841" t="s">
        <v>3691</v>
      </c>
      <c r="H62" s="3842" t="s">
        <v>3712</v>
      </c>
      <c r="I62" s="3843" t="s">
        <v>3693</v>
      </c>
    </row>
    <row r="63" spans="1:35" ht="24">
      <c r="A63" s="74" t="s">
        <v>328</v>
      </c>
      <c r="B63" s="3831" t="s">
        <v>3704</v>
      </c>
      <c r="C63" s="3950">
        <f ca="1">ROUND(C64+C65,0)</f>
        <v>13</v>
      </c>
      <c r="D63" s="3825"/>
      <c r="E63" s="4760" t="s">
        <v>3701</v>
      </c>
      <c r="F63" s="4636">
        <v>1</v>
      </c>
      <c r="G63" s="4637" t="s">
        <v>4065</v>
      </c>
      <c r="H63" s="3954">
        <f ca="1">H64-H66</f>
        <v>1</v>
      </c>
      <c r="I63" s="3844"/>
      <c r="J63" s="4844" t="s">
        <v>1354</v>
      </c>
      <c r="K63" s="942" t="s">
        <v>1355</v>
      </c>
      <c r="L63" s="3973" t="e">
        <f>IF(M49&gt;10000,M49*0.5%,IF(AND(M49&gt;1000,M49&lt;=10000),M49*1%,IF(AND(M49&gt;100,M49&lt;=1000),M49*3%,IF(AND(M49&gt;10,M49&lt;=100),M49*5%,M49*8%))))</f>
        <v>#VALUE!</v>
      </c>
      <c r="M63" s="3921" t="e">
        <f>ROUND(L63,1)</f>
        <v>#VALUE!</v>
      </c>
      <c r="N63" s="2019"/>
      <c r="Z63" s="1341"/>
      <c r="AI63" s="1342"/>
    </row>
    <row r="64" spans="1:35" ht="14.25" customHeight="1">
      <c r="A64" s="71" t="s">
        <v>323</v>
      </c>
      <c r="B64" s="3832" t="s">
        <v>3705</v>
      </c>
      <c r="C64" s="3951">
        <f ca="1">D45</f>
        <v>13</v>
      </c>
      <c r="D64" s="4620" t="s">
        <v>4060</v>
      </c>
      <c r="E64" s="4761"/>
      <c r="F64" s="4636">
        <v>2</v>
      </c>
      <c r="G64" s="4637" t="s">
        <v>3689</v>
      </c>
      <c r="H64" s="3954">
        <f ca="1">ROUND(H65*I64/(1+I64),0)</f>
        <v>1</v>
      </c>
      <c r="I64" s="3845">
        <v>0.09</v>
      </c>
      <c r="J64" s="4844"/>
      <c r="K64" s="942" t="s">
        <v>1356</v>
      </c>
      <c r="L64" s="3973" t="e">
        <f>IF(M49&gt;2000,M49*0.5%,IF(AND(M49&gt;1000,M49&lt;=2000),M49*0.6%,IF(AND(M49&gt;500,M49&lt;=1000),M49*0.7%,IF(AND(M49&gt;200,M49&lt;=500),M49*0.8%,IF(AND(M49&gt;100,M49&lt;=200),M49*0.9%,IF(AND(M49&gt;50,M49&lt;=100),M49*1%,IF(AND(M49&gt;20,M49&lt;=50),M49*1.5%,IF(AND(M49&gt;10,M49&lt;=20),M49*2%,IF(AND(M49&gt;1,M49&lt;=10),M49*2.5%)))))))))</f>
        <v>#VALUE!</v>
      </c>
      <c r="M64" s="3921" t="e">
        <f t="shared" ref="M64:M65" si="1">ROUND(L64,1)</f>
        <v>#VALUE!</v>
      </c>
      <c r="N64" s="2020" t="s">
        <v>1357</v>
      </c>
      <c r="Z64" s="1341"/>
      <c r="AI64" s="1342"/>
    </row>
    <row r="65" spans="1:35" ht="14.25" customHeight="1">
      <c r="A65" s="71" t="s">
        <v>324</v>
      </c>
      <c r="B65" s="3832" t="s">
        <v>3706</v>
      </c>
      <c r="C65" s="3952"/>
      <c r="D65" s="3826"/>
      <c r="E65" s="4761"/>
      <c r="F65" s="71" t="s">
        <v>323</v>
      </c>
      <c r="G65" s="3846" t="s">
        <v>3692</v>
      </c>
      <c r="H65" s="3954">
        <f ca="1">D45</f>
        <v>13</v>
      </c>
      <c r="I65" s="4622" t="s">
        <v>4061</v>
      </c>
      <c r="J65" s="4844"/>
      <c r="K65" s="942" t="s">
        <v>1358</v>
      </c>
      <c r="L65" s="3973" t="e">
        <f>IF(M49&gt;1000,M49*0.1%,IF(AND(M49&gt;500,M49&lt;=1000),M49*0.5%,IF(AND(M49&gt;50,M49&lt;=500),M49*1%,IF(AND(M49&gt;1,M49&lt;=50),M49*1.5%))))</f>
        <v>#VALUE!</v>
      </c>
      <c r="M65" s="3921" t="e">
        <f t="shared" si="1"/>
        <v>#VALUE!</v>
      </c>
      <c r="N65" s="2020" t="s">
        <v>1357</v>
      </c>
      <c r="Z65" s="1341"/>
      <c r="AI65" s="1342"/>
    </row>
    <row r="66" spans="1:35" ht="14.25" customHeight="1">
      <c r="A66" s="74" t="s">
        <v>325</v>
      </c>
      <c r="B66" s="3833" t="s">
        <v>3707</v>
      </c>
      <c r="C66" s="3952"/>
      <c r="D66" s="4621" t="s">
        <v>4060</v>
      </c>
      <c r="E66" s="4761"/>
      <c r="F66" s="4638">
        <v>3</v>
      </c>
      <c r="G66" s="4637" t="s">
        <v>3690</v>
      </c>
      <c r="H66" s="4463">
        <f>ROUND(H67*I67,0)+ROUND(H68*I68,0)</f>
        <v>0</v>
      </c>
      <c r="I66" s="4640"/>
      <c r="J66" s="4844"/>
      <c r="K66" s="942" t="s">
        <v>1359</v>
      </c>
      <c r="L66" s="3973" t="e">
        <f>M49*0.5%</f>
        <v>#VALUE!</v>
      </c>
      <c r="M66" s="3921" t="e">
        <f>IF(L66&gt;0.5,0.5,ROUND(L66,0))</f>
        <v>#VALUE!</v>
      </c>
      <c r="N66" s="2020" t="s">
        <v>1360</v>
      </c>
      <c r="Z66" s="1341"/>
      <c r="AI66" s="1342"/>
    </row>
    <row r="67" spans="1:35" ht="14.25" customHeight="1">
      <c r="A67" s="74" t="s">
        <v>326</v>
      </c>
      <c r="B67" s="3830" t="s">
        <v>3703</v>
      </c>
      <c r="C67" s="3951">
        <f ca="1">C63-C66</f>
        <v>13</v>
      </c>
      <c r="D67" s="3826"/>
      <c r="E67" s="4761"/>
      <c r="F67" s="71" t="s">
        <v>323</v>
      </c>
      <c r="G67" s="3846" t="s">
        <v>3694</v>
      </c>
      <c r="H67" s="3955"/>
      <c r="I67" s="3845">
        <v>0.09</v>
      </c>
      <c r="J67" s="4844"/>
      <c r="K67" s="942" t="s">
        <v>1361</v>
      </c>
      <c r="L67" s="3973" t="e">
        <f>IF(M49&gt;=10000,(8.25+(M49-10000)*0.01%),IF(AND(M49&gt;=8000,M49&lt;10000),(7.85+(M49-8000)*0.02%),IF(AND(M49&gt;=5000,M49&lt;8000),(6.65+(M49-5000)*0.04%),IF(AND(M49&gt;=2000,M49&lt;5000),(4.25+(PM49-2000)*0.08%),IF(AND(M49&gt;=1000,M49&lt;2000),(2.75+(M49-1000)*0.15%),IF(AND(M49&gt;=100,M49&lt;1000),(0.5+(M49-100)*0.25%),IF(AND(M49&gt;0,M49&lt;100),M49*0.5%)))))))</f>
        <v>#VALUE!</v>
      </c>
      <c r="M67" s="3921" t="e">
        <f>ROUND(L67*0.9,1)</f>
        <v>#VALUE!</v>
      </c>
      <c r="N67" s="2019"/>
      <c r="Z67" s="1341"/>
      <c r="AI67" s="1342"/>
    </row>
    <row r="68" spans="1:35" ht="14.25" customHeight="1" thickBot="1">
      <c r="A68" s="76" t="s">
        <v>327</v>
      </c>
      <c r="B68" s="4635" t="s">
        <v>4064</v>
      </c>
      <c r="C68" s="3953">
        <f ca="1">IF(C67&lt;=0,0,ROUND(C67*D68/(1+D68),0))</f>
        <v>1</v>
      </c>
      <c r="D68" s="3827">
        <v>0.05</v>
      </c>
      <c r="E68" s="4762"/>
      <c r="F68" s="3839" t="s">
        <v>324</v>
      </c>
      <c r="G68" s="3847" t="s">
        <v>3695</v>
      </c>
      <c r="H68" s="3956"/>
      <c r="I68" s="3848">
        <v>0.06</v>
      </c>
      <c r="J68" s="4844"/>
      <c r="K68" s="942" t="s">
        <v>1362</v>
      </c>
      <c r="L68" s="3973" t="e">
        <f>IF(M49&gt;10000,M49*0.5%,IF(AND(M49&gt;5000,M49&lt;=10000),M49*1%,IF(AND(M49&gt;1000,M49&lt;=5000),M49*2%,IF(AND(M49&gt;200,M49&lt;=1000),M49*3%,M49*5%))))</f>
        <v>#VALUE!</v>
      </c>
      <c r="M68" s="3921" t="e">
        <f>ROUND(L68,1)</f>
        <v>#VALUE!</v>
      </c>
      <c r="N68" s="2019"/>
      <c r="Z68" s="1341"/>
      <c r="AI68" s="1342"/>
    </row>
    <row r="69" spans="1:35" s="1355" customFormat="1" ht="16.5" customHeight="1">
      <c r="A69" s="1394"/>
      <c r="B69" s="1395"/>
      <c r="C69" s="1396"/>
      <c r="D69" s="1397"/>
      <c r="E69" s="1398"/>
      <c r="F69" s="1183"/>
      <c r="G69" s="1183"/>
      <c r="H69" s="1182"/>
      <c r="I69" s="1336"/>
      <c r="J69" s="4845"/>
      <c r="K69" s="942" t="s">
        <v>1363</v>
      </c>
      <c r="L69" s="3973"/>
      <c r="M69" s="3921"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14" t="s">
        <v>1364</v>
      </c>
      <c r="B70" s="4815"/>
      <c r="C70" s="4815"/>
      <c r="D70" s="4815"/>
      <c r="E70" s="4815"/>
      <c r="F70" s="4815"/>
      <c r="G70" s="4815"/>
      <c r="H70" s="4815"/>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77" t="s">
        <v>1351</v>
      </c>
      <c r="B71" s="4778"/>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1365</v>
      </c>
      <c r="C72" s="4628">
        <f ca="1">ROUND(D45-D54,0)</f>
        <v>12</v>
      </c>
      <c r="D72" s="4629"/>
      <c r="E72" s="4630" t="s">
        <v>4063</v>
      </c>
      <c r="F72" s="4631"/>
      <c r="G72" s="4631"/>
      <c r="H72" s="4632"/>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1366</v>
      </c>
      <c r="C73" s="3957">
        <f ca="1">C74+C78</f>
        <v>-1</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89" t="s">
        <v>1372</v>
      </c>
      <c r="F76" s="4765"/>
      <c r="G76" s="4765"/>
      <c r="H76" s="481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-1</v>
      </c>
      <c r="D78" s="4627">
        <f>'数据-取费表'!B44</f>
        <v>0.12000000000000001</v>
      </c>
      <c r="E78" s="4779" t="s">
        <v>1376</v>
      </c>
      <c r="F78" s="4780"/>
      <c r="G78" s="4780"/>
      <c r="H78" s="4781"/>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1377</v>
      </c>
      <c r="C79" s="3957">
        <f ca="1">C72-C73</f>
        <v>13</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-13</v>
      </c>
      <c r="D80" s="3813"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1379</v>
      </c>
      <c r="C81" s="3958">
        <f ca="1">ROUND(IF(C79&lt;=0,0,IF(C80&gt;=200%,C79*60%-C73*35%,IF(C80&gt;=100%,C79*50%-C73*15%,IF(C80&gt;=50%,C79*40%-C73*5%,IF(C80&lt;50%,C79*30%,0))))),0)</f>
        <v>4</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14" t="s">
        <v>1380</v>
      </c>
      <c r="B83" s="4815"/>
      <c r="C83" s="4815"/>
      <c r="D83" s="4815"/>
      <c r="E83" s="4815"/>
      <c r="F83" s="4815"/>
      <c r="G83" s="4815"/>
      <c r="H83" s="481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77" t="s">
        <v>1351</v>
      </c>
      <c r="B84" s="4778"/>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1365</v>
      </c>
      <c r="C85" s="4628">
        <f ca="1">ROUND(D45-D53,0)</f>
        <v>12</v>
      </c>
      <c r="D85" s="4629"/>
      <c r="E85" s="4634" t="s">
        <v>4062</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1366</v>
      </c>
      <c r="C86" s="3957">
        <f ca="1">IF(H88="仅含出让金",C87+C90+C91+C92+C93+C94,C87+C91+C92+C93+C94)</f>
        <v>-1</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1382</v>
      </c>
      <c r="C88" s="3952"/>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1373</v>
      </c>
      <c r="C89" s="3951">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1386</v>
      </c>
      <c r="C90" s="3952"/>
      <c r="D90" s="3818"/>
      <c r="E90" s="92" t="str">
        <f>IF(H88="-","土地取得成本中已包含该笔费用"," ")</f>
        <v xml:space="preserve"> </v>
      </c>
      <c r="F90" s="1823"/>
      <c r="G90" s="4847" t="s">
        <v>2031</v>
      </c>
      <c r="H90" s="4848"/>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75" t="s">
        <v>1389</v>
      </c>
      <c r="F91" s="4776"/>
      <c r="G91" s="4776"/>
      <c r="H91" s="3805" t="s">
        <v>3683</v>
      </c>
      <c r="I91" s="3960"/>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75" t="s">
        <v>1392</v>
      </c>
      <c r="F92" s="4776"/>
      <c r="G92" s="4776"/>
      <c r="H92" s="4840"/>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-1</v>
      </c>
      <c r="D93" s="4627">
        <f>'数据-取费表'!B44</f>
        <v>0.12000000000000001</v>
      </c>
      <c r="E93" s="4823" t="s">
        <v>3686</v>
      </c>
      <c r="F93" s="4780"/>
      <c r="G93" s="4780"/>
      <c r="H93" s="4781"/>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24" t="s">
        <v>1396</v>
      </c>
      <c r="F94" s="4825"/>
      <c r="G94" s="4825"/>
      <c r="H94" s="482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1377</v>
      </c>
      <c r="C95" s="3957">
        <f ca="1">ROUND(C85-C86,0)</f>
        <v>13</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-13</v>
      </c>
      <c r="D96" s="3813"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1379</v>
      </c>
      <c r="C97" s="3958">
        <f ca="1">ROUND(IF(C95&lt;=0,0,IF(C96&gt;=200%,C95*60%-C86*35%,IF(C96&gt;=100%,C95*50%-C86*15%,IF(C96&gt;=50%,C95*40%-C86*5%,IF(C96&lt;50%,C95*30%,0))))),0)</f>
        <v>4</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6" t="s">
        <v>1398</v>
      </c>
      <c r="B100" s="4737"/>
      <c r="C100" s="4737"/>
      <c r="D100" s="4832"/>
      <c r="E100" s="4737" t="s">
        <v>1399</v>
      </c>
      <c r="F100" s="4737"/>
      <c r="G100" s="4737"/>
      <c r="H100" s="4832"/>
      <c r="I100" s="51"/>
    </row>
    <row r="101" spans="1:35" ht="18.75" customHeight="1">
      <c r="A101" s="4852" t="s">
        <v>1400</v>
      </c>
      <c r="B101" s="4853"/>
      <c r="C101" s="2036" t="str">
        <f>C4</f>
        <v>成本法 (元)</v>
      </c>
      <c r="D101" s="2037" t="str">
        <f>D4</f>
        <v>比较法-车位</v>
      </c>
      <c r="E101" s="4841" t="s">
        <v>1401</v>
      </c>
      <c r="F101" s="4749"/>
      <c r="G101" s="1408" t="s">
        <v>1402</v>
      </c>
      <c r="H101" s="3965">
        <f ca="1">I118</f>
        <v>12.841900000000001</v>
      </c>
      <c r="I101" s="51"/>
    </row>
    <row r="102" spans="1:35" ht="18.75" customHeight="1">
      <c r="A102" s="4808" t="s">
        <v>1403</v>
      </c>
      <c r="B102" s="2035" t="s">
        <v>1402</v>
      </c>
      <c r="C102" s="3961">
        <f ca="1">C19</f>
        <v>28.303899999999999</v>
      </c>
      <c r="D102" s="3962">
        <f>D19</f>
        <v>8.9778000000000002</v>
      </c>
      <c r="E102" s="4841"/>
      <c r="F102" s="4749"/>
      <c r="G102" s="1408" t="s">
        <v>1404</v>
      </c>
      <c r="H102" s="3966">
        <f ca="1">H118</f>
        <v>722486</v>
      </c>
      <c r="I102" s="51"/>
    </row>
    <row r="103" spans="1:35" ht="42.75" customHeight="1">
      <c r="A103" s="4808"/>
      <c r="B103" s="2035" t="s">
        <v>1404</v>
      </c>
      <c r="C103" s="3963">
        <f ca="1">C20</f>
        <v>6713</v>
      </c>
      <c r="D103" s="3964">
        <f>D20</f>
        <v>2129</v>
      </c>
      <c r="E103" s="4820" t="s">
        <v>1405</v>
      </c>
      <c r="F103" s="4821"/>
      <c r="G103" s="1409" t="s">
        <v>1406</v>
      </c>
      <c r="H103" s="3965">
        <f>IF(D36="正常操作",H104+H105+H106,H105+H106)</f>
        <v>0</v>
      </c>
      <c r="I103" s="51"/>
    </row>
    <row r="104" spans="1:35" ht="18.75" customHeight="1">
      <c r="A104" s="4808" t="s">
        <v>1407</v>
      </c>
      <c r="B104" s="2038" t="s">
        <v>1402</v>
      </c>
      <c r="C104" s="4858">
        <f ca="1">I118</f>
        <v>12.841900000000001</v>
      </c>
      <c r="D104" s="4859"/>
      <c r="E104" s="1268" t="s">
        <v>1408</v>
      </c>
      <c r="F104" s="1264"/>
      <c r="G104" s="1409" t="s">
        <v>1406</v>
      </c>
      <c r="H104" s="3967">
        <f>IF(D36="同一抵押权人同一抵押物续贷",C36&amp;"（续贷，未扣减，详见特别提示）",C36)</f>
        <v>0</v>
      </c>
      <c r="I104" s="51"/>
    </row>
    <row r="105" spans="1:35" ht="18.75" customHeight="1" thickBot="1">
      <c r="A105" s="4809"/>
      <c r="B105" s="2039" t="s">
        <v>1404</v>
      </c>
      <c r="C105" s="4860">
        <f ca="1">H118</f>
        <v>722486</v>
      </c>
      <c r="D105" s="4861"/>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48" t="str">
        <f>IF(项目基本情况!E8="已注销","——","3.房地产抵押价值")</f>
        <v>3.房地产抵押价值</v>
      </c>
      <c r="F107" s="4749"/>
      <c r="G107" s="1408" t="s">
        <v>1402</v>
      </c>
      <c r="H107" s="3965">
        <f ca="1">IF(E107="——","——",H101-H103)</f>
        <v>12.841900000000001</v>
      </c>
      <c r="I107" s="51"/>
    </row>
    <row r="108" spans="1:35" ht="18.75" customHeight="1">
      <c r="A108" s="51"/>
      <c r="B108" s="51"/>
      <c r="C108" s="51"/>
      <c r="D108" s="51"/>
      <c r="E108" s="4748"/>
      <c r="F108" s="4749"/>
      <c r="G108" s="1408" t="s">
        <v>1404</v>
      </c>
      <c r="H108" s="3966">
        <f ca="1">IF(H107=H101,H102,ROUND(H107*10000/'数据-汇总表'!E3,0))</f>
        <v>722486</v>
      </c>
      <c r="I108" s="51"/>
    </row>
    <row r="109" spans="1:35" ht="18.75" customHeight="1">
      <c r="A109" s="51"/>
      <c r="B109" s="51"/>
      <c r="C109" s="51"/>
      <c r="D109" s="51"/>
      <c r="E109" s="4748" t="str">
        <f>IF(项目基本情况!E8="已注销及未注销","4.抵押担保权已注销时的房地产抵押价值",IF(项目基本情况!E8="已注销","3.抵押担保权已注销时的房地产抵押价值","——"))</f>
        <v>——</v>
      </c>
      <c r="F109" s="4749"/>
      <c r="G109" s="1408" t="s">
        <v>1402</v>
      </c>
      <c r="H109" s="3969" t="str">
        <f>IF(E109="——","——",H101-H105-H106)</f>
        <v>——</v>
      </c>
      <c r="I109" s="51"/>
    </row>
    <row r="110" spans="1:35" ht="18.75" customHeight="1">
      <c r="A110" s="51"/>
      <c r="B110" s="51"/>
      <c r="C110" s="51"/>
      <c r="D110" s="51"/>
      <c r="E110" s="4748"/>
      <c r="F110" s="4749"/>
      <c r="G110" s="1408" t="s">
        <v>1404</v>
      </c>
      <c r="H110" s="3966" t="str">
        <f>IF(H109="——","——",ROUND(H109*10000/'数据-汇总表'!E3,0))</f>
        <v>——</v>
      </c>
      <c r="I110" s="51"/>
    </row>
    <row r="111" spans="1:35" ht="18.75" customHeight="1">
      <c r="A111" s="51"/>
      <c r="B111" s="51"/>
      <c r="C111" s="51"/>
      <c r="D111" s="51"/>
      <c r="E111" s="4854" t="str">
        <f>IF(项目基本情况!E9="抵押净值",IF(OR(项目基本情况!E8="已注销",项目基本情况!E8="房地产抵押价值"),"4.抵押净值","5.抵押净值"),"——")</f>
        <v>——</v>
      </c>
      <c r="F111" s="4855"/>
      <c r="G111" s="1408" t="s">
        <v>1402</v>
      </c>
      <c r="H111" s="3965" t="str">
        <f>IF(E111="——","——",N59)</f>
        <v>——</v>
      </c>
      <c r="I111" s="51"/>
    </row>
    <row r="112" spans="1:35" ht="18.75" customHeight="1" thickBot="1">
      <c r="A112" s="51"/>
      <c r="B112" s="51"/>
      <c r="C112" s="51"/>
      <c r="D112" s="51"/>
      <c r="E112" s="4856"/>
      <c r="F112" s="4857"/>
      <c r="G112" s="1411" t="s">
        <v>1404</v>
      </c>
      <c r="H112" s="3916" t="str">
        <f>IF(E111="——","——",N61)</f>
        <v>——</v>
      </c>
      <c r="I112" s="51"/>
    </row>
    <row r="113" spans="1:27" ht="18.75" customHeight="1">
      <c r="A113" s="51"/>
      <c r="B113" s="51"/>
      <c r="C113" s="51"/>
      <c r="D113" s="51"/>
      <c r="E113" s="4810" t="s">
        <v>1410</v>
      </c>
      <c r="F113" s="4810"/>
      <c r="G113" s="4810"/>
      <c r="H113" s="4810"/>
      <c r="I113" s="51"/>
    </row>
    <row r="114" spans="1:27" ht="3.75" customHeight="1">
      <c r="A114" s="1336"/>
      <c r="B114" s="1336"/>
      <c r="C114" s="1336"/>
      <c r="D114" s="1336"/>
      <c r="E114" s="1392"/>
      <c r="F114" s="1392"/>
      <c r="G114" s="1392"/>
      <c r="H114" s="1392"/>
      <c r="I114" s="1336"/>
    </row>
    <row r="115" spans="1:27" ht="18.75" customHeight="1">
      <c r="A115" s="4817" t="s">
        <v>1412</v>
      </c>
      <c r="B115" s="4818"/>
      <c r="C115" s="4818"/>
      <c r="D115" s="4818"/>
      <c r="E115" s="4818"/>
      <c r="F115" s="4818"/>
      <c r="G115" s="4818"/>
      <c r="H115" s="4818"/>
      <c r="I115" s="4819"/>
    </row>
    <row r="116" spans="1:27" ht="27" customHeight="1">
      <c r="A116" s="4788" t="s">
        <v>1413</v>
      </c>
      <c r="B116" s="4811" t="s">
        <v>1414</v>
      </c>
      <c r="C116" s="4811" t="s">
        <v>1415</v>
      </c>
      <c r="D116" s="4850" t="s">
        <v>1416</v>
      </c>
      <c r="E116" s="4851"/>
      <c r="F116" s="4816"/>
      <c r="G116" s="4816"/>
      <c r="H116" s="4788" t="s">
        <v>1417</v>
      </c>
      <c r="I116" s="4788"/>
      <c r="K116" s="3279"/>
      <c r="L116" s="3280" t="s">
        <v>3477</v>
      </c>
      <c r="M116" s="3280" t="s">
        <v>3478</v>
      </c>
      <c r="N116" s="3280" t="s">
        <v>3479</v>
      </c>
    </row>
    <row r="117" spans="1:27" ht="18.75" customHeight="1">
      <c r="A117" s="4788"/>
      <c r="B117" s="4812"/>
      <c r="C117" s="4812"/>
      <c r="D117" s="1825" t="s">
        <v>1419</v>
      </c>
      <c r="E117" s="1825" t="s">
        <v>1418</v>
      </c>
      <c r="F117" s="1825" t="s">
        <v>1420</v>
      </c>
      <c r="G117" s="1825" t="s">
        <v>1418</v>
      </c>
      <c r="H117" s="1825" t="s">
        <v>1420</v>
      </c>
      <c r="I117" s="1825" t="s">
        <v>1418</v>
      </c>
      <c r="K117" s="3280" t="s">
        <v>3475</v>
      </c>
      <c r="L117" s="3970" t="e">
        <f ca="1">C34</f>
        <v>#REF!</v>
      </c>
      <c r="M117" s="3971" t="e">
        <f ca="1">C35</f>
        <v>#REF!</v>
      </c>
      <c r="N117" s="3971">
        <f ca="1">C32</f>
        <v>3046</v>
      </c>
    </row>
    <row r="118" spans="1:27" ht="24.75" customHeight="1">
      <c r="A118" s="2040" t="str">
        <f>项目基本情况!S2</f>
        <v>北京市房地产</v>
      </c>
      <c r="B118" s="2832">
        <f>M18</f>
        <v>42.16</v>
      </c>
      <c r="C118" s="2832">
        <f>M19</f>
        <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f ca="1">ROUND(IF(D32="楼面单价",C32,N117*10000/B118),0)</f>
        <v>722486</v>
      </c>
      <c r="I118" s="4341">
        <f ca="1">ROUND(IF(D32="总价",C32,N119*B118/10000),4)</f>
        <v>12.841900000000001</v>
      </c>
      <c r="K118" s="3279"/>
      <c r="L118" s="3972"/>
      <c r="M118" s="3972"/>
      <c r="N118" s="3972"/>
    </row>
    <row r="119" spans="1:27" ht="18.75" customHeight="1">
      <c r="A119" s="4788" t="s">
        <v>1421</v>
      </c>
      <c r="B119" s="4788"/>
      <c r="C119" s="4788"/>
      <c r="D119" s="4745" t="e">
        <f ca="1">NUMBERSTRING(INT(E118*10000),2)&amp;"元整"</f>
        <v>#REF!</v>
      </c>
      <c r="E119" s="4747"/>
      <c r="F119" s="4745" t="e">
        <f ca="1">NUMBERSTRING(INT(G118*10000),2)&amp;"元整"</f>
        <v>#REF!</v>
      </c>
      <c r="G119" s="4747"/>
      <c r="H119" s="4745" t="str">
        <f ca="1">NUMBERSTRING(INT(I118*10000),2)&amp;"元整"</f>
        <v>壹拾贰万捌仟肆佰壹拾玖元整</v>
      </c>
      <c r="I119" s="4747"/>
      <c r="K119" s="3280" t="s">
        <v>3476</v>
      </c>
      <c r="L119" s="3971" t="e">
        <f ca="1">C34</f>
        <v>#REF!</v>
      </c>
      <c r="M119" s="3971" t="e">
        <f ca="1">C35</f>
        <v>#REF!</v>
      </c>
      <c r="N119" s="3971">
        <f ca="1">C32</f>
        <v>3046</v>
      </c>
    </row>
    <row r="120" spans="1:27" ht="18.75" hidden="1" customHeight="1">
      <c r="A120" s="4742" t="str">
        <f>IF(项目基本情况!B9="房地产市场价值","",MID(E103,3,LEN(E103)-2))</f>
        <v>估价师知悉的法定优先受偿款</v>
      </c>
      <c r="B120" s="4743"/>
      <c r="C120" s="4743"/>
      <c r="D120" s="4743"/>
      <c r="E120" s="4743"/>
      <c r="F120" s="4743"/>
      <c r="G120" s="4744"/>
      <c r="H120" s="4750">
        <f>H103</f>
        <v>0</v>
      </c>
      <c r="I120" s="475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5" t="s">
        <v>1421</v>
      </c>
      <c r="B121" s="4746"/>
      <c r="C121" s="4746"/>
      <c r="D121" s="4746"/>
      <c r="E121" s="4746"/>
      <c r="F121" s="4746"/>
      <c r="G121" s="4747"/>
      <c r="H121" s="4752" t="str">
        <f>IF(H120=0,"零元整",NUMBERSTRING(INT(H120*10000),2)&amp;"元整")</f>
        <v>零元整</v>
      </c>
      <c r="I121" s="4753"/>
      <c r="AA121" s="518"/>
    </row>
    <row r="122" spans="1:27" ht="18.75" hidden="1" customHeight="1">
      <c r="A122" s="4742" t="str">
        <f>IF(项目基本情况!B9="房地产市场价值","",MID(E107,3,LEN(E107)-2))</f>
        <v>房地产抵押价值</v>
      </c>
      <c r="B122" s="4743"/>
      <c r="C122" s="4743"/>
      <c r="D122" s="4743"/>
      <c r="E122" s="4743"/>
      <c r="F122" s="4743"/>
      <c r="G122" s="4744"/>
      <c r="H122" s="4754">
        <f ca="1">H107</f>
        <v>12.841900000000001</v>
      </c>
      <c r="I122" s="4755"/>
      <c r="AA122" s="518"/>
    </row>
    <row r="123" spans="1:27" ht="18.75" hidden="1" customHeight="1">
      <c r="A123" s="4745" t="s">
        <v>1421</v>
      </c>
      <c r="B123" s="4746"/>
      <c r="C123" s="4746"/>
      <c r="D123" s="4746"/>
      <c r="E123" s="4746"/>
      <c r="F123" s="4746"/>
      <c r="G123" s="4747"/>
      <c r="H123" s="4745" t="str">
        <f ca="1">NUMBERSTRING(INT(H122*10000),2)&amp;"元整"</f>
        <v>壹拾贰万捌仟肆佰壹拾玖元整</v>
      </c>
      <c r="I123" s="4747"/>
      <c r="AA123" s="518"/>
    </row>
    <row r="124" spans="1:27" ht="18.75" hidden="1" customHeight="1">
      <c r="A124" s="4742" t="str">
        <f>IF(项目基本情况!B9="房地产市场价值","",MID(E109,3,LEN(E109)-2))</f>
        <v/>
      </c>
      <c r="B124" s="4743"/>
      <c r="C124" s="4743"/>
      <c r="D124" s="4743"/>
      <c r="E124" s="4743"/>
      <c r="F124" s="4743"/>
      <c r="G124" s="4744"/>
      <c r="H124" s="4754" t="str">
        <f>H109</f>
        <v>——</v>
      </c>
      <c r="I124" s="4755"/>
      <c r="AA124" s="518"/>
    </row>
    <row r="125" spans="1:27" ht="18.75" hidden="1" customHeight="1">
      <c r="A125" s="4745" t="s">
        <v>1421</v>
      </c>
      <c r="B125" s="4746"/>
      <c r="C125" s="4746"/>
      <c r="D125" s="4746"/>
      <c r="E125" s="4746"/>
      <c r="F125" s="4746"/>
      <c r="G125" s="4747"/>
      <c r="H125" s="4745" t="e">
        <f>NUMBERSTRING(INT(H124*10000),2)&amp;"元整"</f>
        <v>#VALUE!</v>
      </c>
      <c r="I125" s="4747"/>
      <c r="AA125" s="518"/>
    </row>
    <row r="126" spans="1:27" ht="18.75" hidden="1" customHeight="1">
      <c r="A126" s="4742" t="str">
        <f>IF(项目基本情况!B9="房地产市场价值","",MID(E111,3,LEN(E111)-2))</f>
        <v/>
      </c>
      <c r="B126" s="4743"/>
      <c r="C126" s="4743"/>
      <c r="D126" s="4743"/>
      <c r="E126" s="4743"/>
      <c r="F126" s="4743"/>
      <c r="G126" s="4744"/>
      <c r="H126" s="4754" t="str">
        <f>H111</f>
        <v>——</v>
      </c>
      <c r="I126" s="4755"/>
      <c r="AA126" s="518"/>
    </row>
    <row r="127" spans="1:27" ht="18.75" hidden="1" customHeight="1">
      <c r="A127" s="4745" t="s">
        <v>1421</v>
      </c>
      <c r="B127" s="4746"/>
      <c r="C127" s="4746"/>
      <c r="D127" s="4746"/>
      <c r="E127" s="4746"/>
      <c r="F127" s="4746"/>
      <c r="G127" s="4747"/>
      <c r="H127" s="4745" t="e">
        <f>NUMBERSTRING(INT(H126*10000),2)&amp;"元整"</f>
        <v>#VALUE!</v>
      </c>
      <c r="I127" s="4747"/>
      <c r="AA127" s="518"/>
    </row>
    <row r="128" spans="1:27" ht="21.75" hidden="1" customHeight="1">
      <c r="A128" s="4849" t="s">
        <v>1422</v>
      </c>
      <c r="B128" s="4849"/>
      <c r="C128" s="4849"/>
      <c r="D128" s="4849"/>
      <c r="E128" s="4849"/>
      <c r="F128" s="4849"/>
      <c r="G128" s="4849"/>
      <c r="H128" s="4849"/>
      <c r="I128" s="4849"/>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70"/>
      <c r="C1" s="3585"/>
      <c r="D1" s="97"/>
      <c r="E1" s="97"/>
      <c r="F1" s="97"/>
      <c r="G1" s="795">
        <f>MATCH(B1,'数据-取费表'!A6:A16,0)+5</f>
        <v>7</v>
      </c>
    </row>
    <row r="2" spans="1:9" s="99" customFormat="1" ht="15.6">
      <c r="A2" s="100" t="s">
        <v>1431</v>
      </c>
      <c r="B2" s="2756">
        <f ca="1">IF(C1="含税",E2+C33,E2+C32)</f>
        <v>16</v>
      </c>
      <c r="C2" s="98" t="s">
        <v>1432</v>
      </c>
      <c r="D2" s="1434" t="s">
        <v>41</v>
      </c>
      <c r="E2" s="3674">
        <f ca="1">IF(D2="——",0,SUMIF(INDIRECT("'"&amp;G2&amp;"'"&amp;"!A:A"),"承租人权益价值",INDIRECT("'"&amp;G2&amp;"'"&amp;"!c:c")))</f>
        <v>0</v>
      </c>
      <c r="F2" s="1435" t="s">
        <v>1432</v>
      </c>
      <c r="G2" s="1436"/>
    </row>
    <row r="3" spans="1:9" s="99" customFormat="1" ht="16.2" thickBot="1">
      <c r="A3" s="102" t="s">
        <v>1433</v>
      </c>
      <c r="B3" s="2757">
        <f ca="1">ROUND(B2*10000/(IF(B1="",'数据-汇总表'!E3,INDIRECT("'数据-取费表'!k"&amp;$G$1))),0)</f>
        <v>3795</v>
      </c>
      <c r="C3" s="98" t="s">
        <v>1434</v>
      </c>
      <c r="D3" s="98"/>
      <c r="E3" s="2744"/>
      <c r="F3" s="98"/>
      <c r="G3" s="98"/>
    </row>
    <row r="4" spans="1:9" s="99" customFormat="1" ht="16.2" thickBot="1">
      <c r="A4" s="2801" t="s">
        <v>3327</v>
      </c>
      <c r="B4" s="2802" t="s">
        <v>3328</v>
      </c>
      <c r="C4" s="2741" t="s">
        <v>3949</v>
      </c>
      <c r="D4" s="2777" t="s">
        <v>3333</v>
      </c>
      <c r="E4" s="2778" t="s">
        <v>3334</v>
      </c>
      <c r="F4" s="2778" t="s">
        <v>3335</v>
      </c>
      <c r="G4" s="2742" t="s">
        <v>3329</v>
      </c>
    </row>
    <row r="5" spans="1:9" s="107" customFormat="1" ht="15.6">
      <c r="A5" s="2779" t="s">
        <v>3326</v>
      </c>
      <c r="B5" s="2780" t="s">
        <v>3330</v>
      </c>
      <c r="C5" s="2754">
        <f ca="1">ROUND((C6+C9+C21+C24+C25+C28)/(1-F22-C26-C29),0)</f>
        <v>18</v>
      </c>
      <c r="D5" s="2781"/>
      <c r="E5" s="2781"/>
      <c r="F5" s="2781"/>
      <c r="G5" s="2936" t="s">
        <v>3469</v>
      </c>
    </row>
    <row r="6" spans="1:9" s="2767" customFormat="1" ht="14.4">
      <c r="A6" s="2746" t="s">
        <v>3336</v>
      </c>
      <c r="B6" s="2805" t="s">
        <v>3337</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4.4">
      <c r="A9" s="2788" t="s">
        <v>336</v>
      </c>
      <c r="B9" s="2807" t="s">
        <v>3285</v>
      </c>
      <c r="C9" s="2768">
        <f ca="1">C10+C11+C12+C13+C19+C20</f>
        <v>17</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15</v>
      </c>
      <c r="D10" s="2785"/>
      <c r="E10" s="148"/>
      <c r="F10" s="2793">
        <f ca="1">IF('数据-取费表'!B24=0,1,IF(B1="",'数据-取费表'!N16,INDIRECT("'数据-取费表'!n"&amp;$G$1)))</f>
        <v>1</v>
      </c>
      <c r="G10" s="160" t="s">
        <v>1467</v>
      </c>
    </row>
    <row r="11" spans="1:9" s="113" customFormat="1">
      <c r="A11" s="2808" t="s">
        <v>349</v>
      </c>
      <c r="B11" s="2809" t="s">
        <v>3321</v>
      </c>
      <c r="C11" s="2755">
        <f ca="1">ROUND(C10*F11,0)</f>
        <v>0</v>
      </c>
      <c r="D11" s="148"/>
      <c r="E11" s="148"/>
      <c r="F11" s="2766">
        <f>'数据-取费表'!B33</f>
        <v>0.02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59" t="s">
        <v>3991</v>
      </c>
    </row>
    <row r="13" spans="1:9" s="113" customFormat="1">
      <c r="A13" s="2808" t="s">
        <v>3286</v>
      </c>
      <c r="B13" s="2809" t="s">
        <v>3323</v>
      </c>
      <c r="C13" s="2755">
        <f ca="1">C14+C17+C18</f>
        <v>2</v>
      </c>
      <c r="D13" s="148"/>
      <c r="E13" s="2786"/>
      <c r="F13" s="2787"/>
      <c r="G13" s="160"/>
    </row>
    <row r="14" spans="1:9" s="122" customFormat="1">
      <c r="A14" s="2739" t="s">
        <v>3287</v>
      </c>
      <c r="B14" s="2810" t="s">
        <v>3319</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160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42.16</v>
      </c>
      <c r="E16" s="2795">
        <f>'数据-取费表'!B28</f>
        <v>200</v>
      </c>
      <c r="F16" s="2787"/>
      <c r="G16" s="125"/>
    </row>
    <row r="17" spans="1:7" s="113" customFormat="1">
      <c r="A17" s="2739" t="s">
        <v>3288</v>
      </c>
      <c r="B17" s="2813" t="s">
        <v>3293</v>
      </c>
      <c r="C17" s="2755">
        <f ca="1">IF(G17="已包含在土地取得成本中","0",ROUND(D17*E17/10000,0))</f>
        <v>1</v>
      </c>
      <c r="D17" s="2796">
        <f ca="1">D15+D16</f>
        <v>42.16</v>
      </c>
      <c r="E17" s="2796">
        <f>'数据-取费表'!B31</f>
        <v>265</v>
      </c>
      <c r="F17" s="2763"/>
      <c r="G17" s="1437"/>
    </row>
    <row r="18" spans="1:7" s="113" customFormat="1">
      <c r="A18" s="2814" t="s">
        <v>3289</v>
      </c>
      <c r="B18" s="2813" t="s">
        <v>1472</v>
      </c>
      <c r="C18" s="2755">
        <f ca="1">ROUND(E18*D18*F10/10000,0)</f>
        <v>1</v>
      </c>
      <c r="D18" s="2755">
        <f ca="1">D17</f>
        <v>42.16</v>
      </c>
      <c r="E18" s="2755">
        <f>'数据-取费表'!B35</f>
        <v>300</v>
      </c>
      <c r="F18" s="2766"/>
      <c r="G18" s="160" t="str">
        <f ca="1">IF(F10=100%,"","按工程进度计取")</f>
        <v/>
      </c>
    </row>
    <row r="19" spans="1:7" s="113" customFormat="1">
      <c r="A19" s="2808" t="s">
        <v>352</v>
      </c>
      <c r="B19" s="2809" t="s">
        <v>3324</v>
      </c>
      <c r="C19" s="2755">
        <f ca="1">ROUND(C10*F19,0)</f>
        <v>0</v>
      </c>
      <c r="D19" s="148"/>
      <c r="E19" s="148"/>
      <c r="F19" s="2766">
        <f>'数据-取费表'!B36</f>
        <v>0.02</v>
      </c>
      <c r="G19" s="160" t="s">
        <v>1469</v>
      </c>
    </row>
    <row r="20" spans="1:7" s="113" customFormat="1">
      <c r="A20" s="2808" t="s">
        <v>3290</v>
      </c>
      <c r="B20" s="2809" t="s">
        <v>3325</v>
      </c>
      <c r="C20" s="2755">
        <f ca="1">ROUND(C10*F20,0)</f>
        <v>0</v>
      </c>
      <c r="D20" s="2797"/>
      <c r="E20" s="144"/>
      <c r="F20" s="2766">
        <f>'数据-取费表'!B37</f>
        <v>0.02</v>
      </c>
      <c r="G20" s="160" t="s">
        <v>1469</v>
      </c>
    </row>
    <row r="21" spans="1:7" s="2767" customFormat="1" ht="14.4">
      <c r="A21" s="2746" t="s">
        <v>3338</v>
      </c>
      <c r="B21" s="2805" t="s">
        <v>3339</v>
      </c>
      <c r="C21" s="2768">
        <f ca="1">ROUND((C6+C9)*F21,0)</f>
        <v>0</v>
      </c>
      <c r="D21" s="2769"/>
      <c r="E21" s="2769"/>
      <c r="F21" s="2773">
        <f>'数据-取费表'!B38</f>
        <v>0.01</v>
      </c>
      <c r="G21" s="2770" t="s">
        <v>3340</v>
      </c>
    </row>
    <row r="22" spans="1:7" s="2767" customFormat="1" ht="14.4">
      <c r="A22" s="2746" t="s">
        <v>3341</v>
      </c>
      <c r="B22" s="2805" t="s">
        <v>3342</v>
      </c>
      <c r="C22" s="2771" t="str">
        <f>F22&amp;"V"</f>
        <v>0.01V</v>
      </c>
      <c r="D22" s="302"/>
      <c r="E22" s="2769"/>
      <c r="F22" s="2773">
        <f>'数据-取费表'!B39</f>
        <v>0.01</v>
      </c>
      <c r="G22" s="3803" t="s">
        <v>3985</v>
      </c>
    </row>
    <row r="23" spans="1:7" s="2767" customFormat="1" ht="14.4">
      <c r="A23" s="2746" t="s">
        <v>3343</v>
      </c>
      <c r="B23" s="2807" t="s">
        <v>3294</v>
      </c>
      <c r="C23" s="2747" t="str">
        <f ca="1">SUM(C24:C25)&amp;"+"&amp;C26&amp;"V"</f>
        <v>0+0.0002V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59" t="s">
        <v>3986</v>
      </c>
    </row>
    <row r="25" spans="1:7" s="113" customFormat="1">
      <c r="A25" s="2815" t="s">
        <v>1453</v>
      </c>
      <c r="B25" s="2813" t="s">
        <v>3295</v>
      </c>
      <c r="C25" s="2761">
        <f ca="1">ROUND(IF('数据-取费表'!B22&lt;=1,(C9+C21)*F23*'数据-取费表'!B23/2,(C9+C21)*(POWER((1+F23),'数据-取费表'!B23/2)-1)),0)</f>
        <v>0</v>
      </c>
      <c r="D25" s="137"/>
      <c r="E25" s="137"/>
      <c r="F25" s="2762"/>
      <c r="G25" s="4259" t="s">
        <v>3987</v>
      </c>
    </row>
    <row r="26" spans="1:7" s="113" customFormat="1">
      <c r="A26" s="2815" t="s">
        <v>348</v>
      </c>
      <c r="B26" s="2813" t="s">
        <v>1454</v>
      </c>
      <c r="C26" s="2758">
        <f ca="1">ROUND(IF('数据-取费表'!B22&lt;=1,F22*F23*'数据-取费表'!B23/2,F22*(POWER((1+F23),'数据-取费表'!B23/2)-1)),4)</f>
        <v>2.0000000000000001E-4</v>
      </c>
      <c r="D26" s="137"/>
      <c r="E26" s="140"/>
      <c r="F26" s="2762"/>
      <c r="G26" s="4604" t="s">
        <v>3988</v>
      </c>
    </row>
    <row r="27" spans="1:7" s="2767" customFormat="1" ht="14.4">
      <c r="A27" s="2746" t="s">
        <v>3344</v>
      </c>
      <c r="B27" s="2807" t="s">
        <v>3296</v>
      </c>
      <c r="C27" s="2774" t="str">
        <f ca="1">C28&amp;"+"&amp;C29&amp;"V"</f>
        <v>1+0.0005V</v>
      </c>
      <c r="D27" s="2772"/>
      <c r="E27" s="302"/>
      <c r="F27" s="2775">
        <f ca="1">IF(B1="",'数据-取费表'!Q16,INDIRECT("'数据-取费表'!q"&amp;$G$1))</f>
        <v>0.05</v>
      </c>
      <c r="G27" s="2770" t="s">
        <v>3993</v>
      </c>
    </row>
    <row r="28" spans="1:7" s="113" customFormat="1">
      <c r="A28" s="2808" t="s">
        <v>344</v>
      </c>
      <c r="B28" s="2813" t="s">
        <v>1459</v>
      </c>
      <c r="C28" s="2740">
        <f ca="1">ROUND(C6*F27*'数据-取费表'!B23/'数据-取费表'!B22+(C9+C21)*F27,0)</f>
        <v>1</v>
      </c>
      <c r="D28" s="134"/>
      <c r="E28" s="135"/>
      <c r="F28" s="2763"/>
      <c r="G28" s="3278" t="str">
        <f ca="1">IF(F10=100%,"","其中：土地取得成本产生的利润按已建工期计算")</f>
        <v/>
      </c>
    </row>
    <row r="29" spans="1:7" s="113" customFormat="1">
      <c r="A29" s="2808" t="s">
        <v>345</v>
      </c>
      <c r="B29" s="2813" t="s">
        <v>1460</v>
      </c>
      <c r="C29" s="2758">
        <f ca="1">ROUND(F22*F27,4)</f>
        <v>5.0000000000000001E-4</v>
      </c>
      <c r="D29" s="134"/>
      <c r="E29" s="135"/>
      <c r="F29" s="2763"/>
      <c r="G29" s="146"/>
    </row>
    <row r="30" spans="1:7" s="2767" customFormat="1" ht="14.4">
      <c r="A30" s="2746" t="s">
        <v>3345</v>
      </c>
      <c r="B30" s="2805" t="s">
        <v>3346</v>
      </c>
      <c r="C30" s="2768">
        <v>0</v>
      </c>
      <c r="D30" s="302"/>
      <c r="E30" s="2748"/>
      <c r="F30" s="2773"/>
      <c r="G30" s="2776" t="s">
        <v>3297</v>
      </c>
    </row>
    <row r="31" spans="1:7" s="113" customFormat="1" ht="15.6">
      <c r="A31" s="2816">
        <v>2</v>
      </c>
      <c r="B31" s="2817" t="s">
        <v>3298</v>
      </c>
      <c r="C31" s="2759">
        <f ca="1">C57</f>
        <v>2</v>
      </c>
      <c r="D31" s="2750"/>
      <c r="E31" s="2750"/>
      <c r="F31" s="2764">
        <f>IF('数据-取费表'!B24=0,'数据-取费表'!N16,1)</f>
        <v>0.9</v>
      </c>
      <c r="G31" s="2751" t="s">
        <v>3807</v>
      </c>
    </row>
    <row r="32" spans="1:7" s="113" customFormat="1" ht="15.6">
      <c r="A32" s="2738" t="s">
        <v>3299</v>
      </c>
      <c r="B32" s="2737" t="s">
        <v>3300</v>
      </c>
      <c r="C32" s="2759">
        <f ca="1">C5-C31</f>
        <v>16</v>
      </c>
      <c r="D32" s="2750"/>
      <c r="E32" s="2750"/>
      <c r="F32" s="2749"/>
      <c r="G32" s="2752" t="s">
        <v>3331</v>
      </c>
    </row>
    <row r="33" spans="1:7" s="113" customFormat="1" ht="16.2" thickBot="1">
      <c r="A33" s="2818">
        <v>4</v>
      </c>
      <c r="B33" s="2819" t="s">
        <v>3332</v>
      </c>
      <c r="C33" s="2760">
        <f ca="1">ROUND(C32*(1+F33),0)</f>
        <v>17</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 thickBot="1">
      <c r="A38" s="3007" t="s">
        <v>3301</v>
      </c>
      <c r="B38" s="3008"/>
      <c r="C38" s="3008"/>
      <c r="D38" s="3008"/>
      <c r="E38" s="3008"/>
      <c r="F38" s="3008"/>
      <c r="G38" s="3009"/>
    </row>
    <row r="39" spans="1:7" ht="15" thickBot="1">
      <c r="A39" s="3010" t="s">
        <v>3327</v>
      </c>
      <c r="B39" s="3011" t="s">
        <v>3328</v>
      </c>
      <c r="C39" s="3012" t="s">
        <v>3949</v>
      </c>
      <c r="D39" s="3013" t="s">
        <v>3451</v>
      </c>
      <c r="E39" s="3014" t="s">
        <v>3452</v>
      </c>
      <c r="F39" s="3014" t="s">
        <v>3453</v>
      </c>
      <c r="G39" s="3015" t="s">
        <v>3329</v>
      </c>
    </row>
    <row r="40" spans="1:7" ht="14.4">
      <c r="A40" s="2868" t="s">
        <v>3454</v>
      </c>
      <c r="B40" s="3017" t="s">
        <v>3302</v>
      </c>
      <c r="C40" s="3018">
        <f ca="1">SUM(C41:C46)</f>
        <v>16</v>
      </c>
      <c r="D40" s="3016"/>
      <c r="E40" s="3016"/>
      <c r="F40" s="3016"/>
      <c r="G40" s="4344"/>
    </row>
    <row r="41" spans="1:7" ht="15.6">
      <c r="A41" s="2800" t="s">
        <v>3303</v>
      </c>
      <c r="B41" s="2867" t="str">
        <f t="shared" ref="B41:C43" si="0">B10</f>
        <v xml:space="preserve">  建安费用</v>
      </c>
      <c r="C41" s="2735">
        <f t="shared" ca="1" si="0"/>
        <v>15</v>
      </c>
      <c r="D41" s="2730"/>
      <c r="E41" s="2730"/>
      <c r="F41" s="2731"/>
      <c r="G41" s="4345"/>
    </row>
    <row r="42" spans="1:7" ht="15.6">
      <c r="A42" s="2800" t="s">
        <v>3304</v>
      </c>
      <c r="B42" s="2867" t="str">
        <f t="shared" si="0"/>
        <v xml:space="preserve">  前期费用</v>
      </c>
      <c r="C42" s="2735">
        <f t="shared" ca="1" si="0"/>
        <v>0</v>
      </c>
      <c r="D42" s="2730"/>
      <c r="E42" s="2730"/>
      <c r="F42" s="2731"/>
      <c r="G42" s="4345"/>
    </row>
    <row r="43" spans="1:7" ht="15.6">
      <c r="A43" s="2800" t="s">
        <v>3368</v>
      </c>
      <c r="B43" s="2804" t="str">
        <f t="shared" si="0"/>
        <v xml:space="preserve">  公共配套设施费用</v>
      </c>
      <c r="C43" s="2735">
        <f t="shared" ca="1" si="0"/>
        <v>0</v>
      </c>
      <c r="D43" s="2730"/>
      <c r="E43" s="2730"/>
      <c r="F43" s="2731"/>
      <c r="G43" s="4345"/>
    </row>
    <row r="44" spans="1:7" ht="15.6">
      <c r="A44" s="2800" t="s">
        <v>3286</v>
      </c>
      <c r="B44" s="2804" t="str">
        <f>B18</f>
        <v>红线内市政费用</v>
      </c>
      <c r="C44" s="2735">
        <f ca="1">C18</f>
        <v>1</v>
      </c>
      <c r="D44" s="2730"/>
      <c r="E44" s="2730"/>
      <c r="F44" s="2731"/>
      <c r="G44" s="4345"/>
    </row>
    <row r="45" spans="1:7" ht="15.6">
      <c r="A45" s="2815" t="s">
        <v>3305</v>
      </c>
      <c r="B45" s="2810" t="str">
        <f>B19</f>
        <v xml:space="preserve">  其他工程费</v>
      </c>
      <c r="C45" s="2740">
        <f ca="1">C19</f>
        <v>0</v>
      </c>
      <c r="D45" s="2865"/>
      <c r="E45" s="2865"/>
      <c r="F45" s="2866"/>
      <c r="G45" s="4346"/>
    </row>
    <row r="46" spans="1:7" ht="15.6">
      <c r="A46" s="2815" t="s">
        <v>3367</v>
      </c>
      <c r="B46" s="2810" t="s">
        <v>3306</v>
      </c>
      <c r="C46" s="2740">
        <f ca="1">C20</f>
        <v>0</v>
      </c>
      <c r="D46" s="2865"/>
      <c r="E46" s="2865"/>
      <c r="F46" s="2866"/>
      <c r="G46" s="4346"/>
    </row>
    <row r="47" spans="1:7" ht="14.4">
      <c r="A47" s="2868" t="s">
        <v>3455</v>
      </c>
      <c r="B47" s="2869" t="s">
        <v>3456</v>
      </c>
      <c r="C47" s="2870">
        <f ca="1">ROUND(C40*F47,0)</f>
        <v>0</v>
      </c>
      <c r="D47" s="2871"/>
      <c r="E47" s="2871"/>
      <c r="F47" s="2872">
        <f>F21</f>
        <v>0.01</v>
      </c>
      <c r="G47" s="2873" t="s">
        <v>3457</v>
      </c>
    </row>
    <row r="48" spans="1:7" ht="14.4">
      <c r="A48" s="2868" t="s">
        <v>3458</v>
      </c>
      <c r="B48" s="2869" t="s">
        <v>3459</v>
      </c>
      <c r="C48" s="2874" t="str">
        <f>F48&amp;"V建1"</f>
        <v>0.01V建1</v>
      </c>
      <c r="D48" s="2871"/>
      <c r="E48" s="2871"/>
      <c r="F48" s="2872">
        <f>F22</f>
        <v>0.01</v>
      </c>
      <c r="G48" s="4605" t="s">
        <v>3989</v>
      </c>
    </row>
    <row r="49" spans="1:7" ht="14.4">
      <c r="A49" s="2868" t="s">
        <v>3460</v>
      </c>
      <c r="B49" s="2875" t="s">
        <v>3366</v>
      </c>
      <c r="C49" s="2768" t="str">
        <f ca="1">C50&amp;"+"&amp;C51&amp;"V建1"</f>
        <v>0+0.0002V建1</v>
      </c>
      <c r="D49" s="302"/>
      <c r="E49" s="302"/>
      <c r="F49" s="2884">
        <f ca="1">F23</f>
        <v>0.03</v>
      </c>
      <c r="G49" s="4347" t="str">
        <f>IF('数据-取费表'!B22&lt;=1,"单利计息","复利计息")</f>
        <v>单利计息</v>
      </c>
    </row>
    <row r="50" spans="1:7">
      <c r="A50" s="2800" t="s">
        <v>3303</v>
      </c>
      <c r="B50" s="2803" t="s">
        <v>3370</v>
      </c>
      <c r="C50" s="2887">
        <f ca="1">ROUND(IF('数据-取费表'!B22&lt;=1,(C40+C47)*F49*'数据-取费表'!B22/2,(C40+C47)*(POWER((1+F49),'数据-取费表'!B22/2)-1)),0)</f>
        <v>0</v>
      </c>
      <c r="D50" s="1070"/>
      <c r="E50" s="1070"/>
      <c r="F50" s="1053"/>
      <c r="G50" s="4862" t="str">
        <f ca="1">IF(F10=100%,"建设期均匀投入","已建工期均匀投入")</f>
        <v>建设期均匀投入</v>
      </c>
    </row>
    <row r="51" spans="1:7">
      <c r="A51" s="2800" t="s">
        <v>3304</v>
      </c>
      <c r="B51" s="2804" t="s">
        <v>3309</v>
      </c>
      <c r="C51" s="2888">
        <f ca="1">ROUND(IF('数据-取费表'!B22&lt;=1,F48*F23*'数据-取费表'!B22/2,F48*(POWER((1+F23),'数据-取费表'!B22/2)-1)),4)</f>
        <v>2.0000000000000001E-4</v>
      </c>
      <c r="D51" s="1070"/>
      <c r="E51" s="1070"/>
      <c r="F51" s="1053"/>
      <c r="G51" s="4863"/>
    </row>
    <row r="52" spans="1:7" ht="14.4">
      <c r="A52" s="2868" t="s">
        <v>3461</v>
      </c>
      <c r="B52" s="2877" t="s">
        <v>3310</v>
      </c>
      <c r="C52" s="2878" t="str">
        <f ca="1">C53&amp;"+"&amp;C54&amp;"V建1"</f>
        <v>1+0.0005V建1</v>
      </c>
      <c r="D52" s="2879"/>
      <c r="E52" s="2871"/>
      <c r="F52" s="2880">
        <f ca="1">F27</f>
        <v>0.05</v>
      </c>
      <c r="G52" s="2881" t="s">
        <v>3462</v>
      </c>
    </row>
    <row r="53" spans="1:7">
      <c r="A53" s="2800" t="s">
        <v>3307</v>
      </c>
      <c r="B53" s="2803" t="s">
        <v>3311</v>
      </c>
      <c r="C53" s="2735">
        <f ca="1">ROUND((C40+C47)*F27,0)</f>
        <v>1</v>
      </c>
      <c r="D53" s="2736"/>
      <c r="E53" s="2732"/>
      <c r="F53" s="2733"/>
      <c r="G53" s="2734"/>
    </row>
    <row r="54" spans="1:7">
      <c r="A54" s="2800" t="s">
        <v>3308</v>
      </c>
      <c r="B54" s="2803" t="s">
        <v>3312</v>
      </c>
      <c r="C54" s="2799">
        <f ca="1">ROUND(F48*F27,4)</f>
        <v>5.0000000000000001E-4</v>
      </c>
      <c r="D54" s="2736"/>
      <c r="E54" s="2732"/>
      <c r="F54" s="2733"/>
      <c r="G54" s="2734"/>
    </row>
    <row r="55" spans="1:7" ht="14.4">
      <c r="A55" s="2746" t="s">
        <v>3463</v>
      </c>
      <c r="B55" s="2886" t="s">
        <v>3464</v>
      </c>
      <c r="C55" s="4348">
        <v>0</v>
      </c>
      <c r="D55" s="2772"/>
      <c r="E55" s="302"/>
      <c r="F55" s="2876"/>
      <c r="G55" s="2883" t="s">
        <v>3315</v>
      </c>
    </row>
    <row r="56" spans="1:7" ht="16.8">
      <c r="A56" s="2746" t="s">
        <v>3468</v>
      </c>
      <c r="B56" s="2882" t="s">
        <v>3465</v>
      </c>
      <c r="C56" s="2768">
        <f ca="1">ROUND((C40+C47+C50+C53)/(1-F48-C51-C54),0)</f>
        <v>17</v>
      </c>
      <c r="D56" s="302"/>
      <c r="E56" s="302"/>
      <c r="F56" s="2884"/>
      <c r="G56" s="2883" t="s">
        <v>3316</v>
      </c>
    </row>
    <row r="57" spans="1:7" ht="14.4">
      <c r="A57" s="2746" t="s">
        <v>3432</v>
      </c>
      <c r="B57" s="2885" t="s">
        <v>3313</v>
      </c>
      <c r="C57" s="2768">
        <f ca="1">ROUND(C56*(1-F57),0)</f>
        <v>2</v>
      </c>
      <c r="D57" s="302"/>
      <c r="E57" s="302"/>
      <c r="F57" s="2884">
        <f>F31</f>
        <v>0.9</v>
      </c>
      <c r="G57" s="2883" t="s">
        <v>3317</v>
      </c>
    </row>
    <row r="58" spans="1:7" ht="16.8">
      <c r="A58" s="2746" t="s">
        <v>3466</v>
      </c>
      <c r="B58" s="2882" t="s">
        <v>3467</v>
      </c>
      <c r="C58" s="2768">
        <f ca="1">C56-C57</f>
        <v>15</v>
      </c>
      <c r="D58" s="302"/>
      <c r="E58" s="302"/>
      <c r="F58" s="2884"/>
      <c r="G58" s="2883" t="s">
        <v>3318</v>
      </c>
    </row>
    <row r="59" spans="1:7" ht="15" thickBot="1">
      <c r="A59" s="4349" t="s">
        <v>3369</v>
      </c>
      <c r="B59" s="4350" t="s">
        <v>3314</v>
      </c>
      <c r="C59" s="4351">
        <f ca="1">ROUND(C58*(1+F59),0)</f>
        <v>16</v>
      </c>
      <c r="D59" s="4352"/>
      <c r="E59" s="4352"/>
      <c r="F59" s="4353">
        <f>F33</f>
        <v>0.09</v>
      </c>
      <c r="G59" s="4354" t="s">
        <v>3990</v>
      </c>
    </row>
    <row r="60" spans="1:7" ht="15.6">
      <c r="A60" s="2728"/>
      <c r="B60" s="2729"/>
    </row>
    <row r="62" spans="1:7" ht="21" customHeight="1">
      <c r="B62" s="2798" t="s">
        <v>1498</v>
      </c>
      <c r="C62" s="170"/>
    </row>
    <row r="63" spans="1:7" ht="21" customHeight="1">
      <c r="B63" s="216" t="s">
        <v>787</v>
      </c>
      <c r="C63" s="4422">
        <f ca="1">1-C64</f>
        <v>6.2000000000000055E-2</v>
      </c>
    </row>
    <row r="64" spans="1:7" ht="21" customHeight="1">
      <c r="B64" s="216" t="s">
        <v>788</v>
      </c>
      <c r="C64" s="4423">
        <f ca="1">ROUND(C58/C32,3)</f>
        <v>0.93799999999999994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47" t="str">
        <f>项目基本情况!B1</f>
        <v>北京市预评估</v>
      </c>
      <c r="C37" s="4647"/>
      <c r="D37" s="4647"/>
      <c r="E37" s="4647"/>
      <c r="F37" s="4647"/>
      <c r="G37" s="4647"/>
      <c r="H37" s="4647"/>
      <c r="I37" s="464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32" sqref="S32"/>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67" t="s">
        <v>1991</v>
      </c>
      <c r="D1" s="4868"/>
      <c r="E1" s="4868"/>
      <c r="F1" s="4868"/>
      <c r="G1" s="4868"/>
      <c r="H1" s="4868"/>
      <c r="I1" s="4868"/>
      <c r="J1" s="4868"/>
      <c r="K1" s="4868"/>
      <c r="L1" s="4868"/>
      <c r="M1" s="4868"/>
      <c r="N1" s="4868"/>
      <c r="O1" s="4868"/>
      <c r="P1" s="4868"/>
      <c r="Q1" s="4868"/>
      <c r="R1" s="4868"/>
      <c r="S1" s="4869"/>
      <c r="T1" s="693" t="s">
        <v>1992</v>
      </c>
    </row>
    <row r="2" spans="1:45" s="474" customFormat="1" ht="26.4">
      <c r="A2" s="694"/>
      <c r="B2" s="470" t="s">
        <v>1993</v>
      </c>
      <c r="C2" s="471" t="str">
        <f t="shared" ref="C2:L2" si="0">C3&amp;"(含)"&amp;"-"&amp;D3</f>
        <v>0(含)-50</v>
      </c>
      <c r="D2" s="472" t="str">
        <f t="shared" si="0"/>
        <v>50(含)-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v>0</v>
      </c>
      <c r="D3" s="3984">
        <v>50</v>
      </c>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88">
        <v>100</v>
      </c>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4644" t="s">
        <v>4116</v>
      </c>
      <c r="C5" s="701" t="s">
        <v>4117</v>
      </c>
      <c r="D5" s="702" t="s">
        <v>4119</v>
      </c>
      <c r="E5" s="702"/>
      <c r="F5" s="930"/>
      <c r="G5" s="930"/>
      <c r="H5" s="930"/>
      <c r="I5" s="930"/>
      <c r="J5" s="930"/>
      <c r="K5" s="930"/>
      <c r="L5" s="931"/>
      <c r="M5" s="932"/>
      <c r="N5" s="932"/>
      <c r="O5" s="930"/>
      <c r="P5" s="930"/>
      <c r="Q5" s="930"/>
      <c r="R5" s="930"/>
      <c r="S5" s="933"/>
      <c r="T5" s="3993">
        <f>'比较法-车位'!K22</f>
        <v>2</v>
      </c>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4">
        <v>100</v>
      </c>
      <c r="D6" s="3995">
        <f>C6-$T5</f>
        <v>98</v>
      </c>
      <c r="E6" s="3995">
        <f t="shared" ref="E6:S6" si="7">D6-$T5</f>
        <v>96</v>
      </c>
      <c r="F6" s="3996">
        <f t="shared" si="7"/>
        <v>94</v>
      </c>
      <c r="G6" s="3996">
        <f t="shared" si="7"/>
        <v>92</v>
      </c>
      <c r="H6" s="3996">
        <f t="shared" si="7"/>
        <v>90</v>
      </c>
      <c r="I6" s="3996">
        <f t="shared" si="7"/>
        <v>88</v>
      </c>
      <c r="J6" s="3996">
        <f t="shared" si="7"/>
        <v>86</v>
      </c>
      <c r="K6" s="3996">
        <f t="shared" si="7"/>
        <v>84</v>
      </c>
      <c r="L6" s="3996">
        <f t="shared" si="7"/>
        <v>82</v>
      </c>
      <c r="M6" s="3996">
        <f t="shared" si="7"/>
        <v>80</v>
      </c>
      <c r="N6" s="3996">
        <f t="shared" si="7"/>
        <v>78</v>
      </c>
      <c r="O6" s="3996">
        <f t="shared" si="7"/>
        <v>76</v>
      </c>
      <c r="P6" s="3996">
        <f t="shared" si="7"/>
        <v>74</v>
      </c>
      <c r="Q6" s="3996">
        <f t="shared" si="7"/>
        <v>72</v>
      </c>
      <c r="R6" s="3996">
        <f t="shared" si="7"/>
        <v>70</v>
      </c>
      <c r="S6" s="3996">
        <f t="shared" si="7"/>
        <v>68</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8"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2" t="e">
        <f ca="1">IF(D20="——",S22,S22-F20)</f>
        <v>#REF!</v>
      </c>
      <c r="C20" s="64"/>
      <c r="D20" s="1694"/>
      <c r="E20" s="950"/>
      <c r="F20" s="3431"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126.47999999999999</v>
      </c>
      <c r="C22" s="4864" t="s">
        <v>25</v>
      </c>
      <c r="D22" s="4865"/>
      <c r="E22" s="4865"/>
      <c r="F22" s="4865"/>
      <c r="G22" s="4865"/>
      <c r="H22" s="4865"/>
      <c r="I22" s="4865"/>
      <c r="J22" s="4865"/>
      <c r="K22" s="4865"/>
      <c r="L22" s="4865"/>
      <c r="M22" s="4865"/>
      <c r="N22" s="4865"/>
      <c r="O22" s="4865"/>
      <c r="P22" s="4865"/>
      <c r="Q22" s="4866"/>
      <c r="R22" s="3921">
        <f ca="1">ROUND(S22*10000/B22,0)</f>
        <v>13</v>
      </c>
      <c r="S22" s="3921">
        <f ca="1">SUM(S24:S10000)</f>
        <v>0.1613</v>
      </c>
    </row>
    <row r="23" spans="1:45" s="7" customFormat="1" ht="24">
      <c r="A23" s="6" t="s">
        <v>2006</v>
      </c>
      <c r="B23" s="3426" t="s">
        <v>2007</v>
      </c>
      <c r="C23" s="6" t="s">
        <v>2008</v>
      </c>
      <c r="D23" s="3274" t="str">
        <f>B5</f>
        <v>楼层</v>
      </c>
      <c r="E23" s="6" t="s">
        <v>2008</v>
      </c>
      <c r="F23" s="3274" t="str">
        <f>B7</f>
        <v>修正项3</v>
      </c>
      <c r="G23" s="6" t="s">
        <v>2008</v>
      </c>
      <c r="H23" s="3274" t="str">
        <f>B9</f>
        <v>修正项4</v>
      </c>
      <c r="I23" s="6" t="s">
        <v>2008</v>
      </c>
      <c r="J23" s="3274" t="str">
        <f>B11</f>
        <v>修正项5</v>
      </c>
      <c r="K23" s="6" t="s">
        <v>2008</v>
      </c>
      <c r="L23" s="3274" t="str">
        <f>B13</f>
        <v>修正项6</v>
      </c>
      <c r="M23" s="6" t="s">
        <v>2008</v>
      </c>
      <c r="N23" s="3274" t="str">
        <f>B15</f>
        <v>修正项7</v>
      </c>
      <c r="O23" s="6" t="s">
        <v>2008</v>
      </c>
      <c r="P23" s="3274"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3" t="s">
        <v>4113</v>
      </c>
      <c r="B24" s="3427">
        <f>'比较法-车位'!C31</f>
        <v>42.16</v>
      </c>
      <c r="C24" s="3155">
        <v>1</v>
      </c>
      <c r="D24" s="3429" t="s">
        <v>4094</v>
      </c>
      <c r="E24" s="3155">
        <v>1</v>
      </c>
      <c r="F24" s="3429"/>
      <c r="G24" s="3155">
        <v>1</v>
      </c>
      <c r="H24" s="3429"/>
      <c r="I24" s="3155">
        <v>1</v>
      </c>
      <c r="J24" s="3429"/>
      <c r="K24" s="3155">
        <v>1</v>
      </c>
      <c r="L24" s="3429"/>
      <c r="M24" s="3155">
        <v>1</v>
      </c>
      <c r="N24" s="3429"/>
      <c r="O24" s="3155">
        <v>1</v>
      </c>
      <c r="P24" s="3429"/>
      <c r="Q24" s="3155">
        <v>1</v>
      </c>
      <c r="R24" s="4015">
        <f ca="1">结果表!I19</f>
        <v>12.843</v>
      </c>
      <c r="S24" s="4016">
        <f ca="1">ROUND(R24*B24/10000,4)</f>
        <v>5.4100000000000002E-2</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t="s">
        <v>4114</v>
      </c>
      <c r="B25" s="3428">
        <v>42.16</v>
      </c>
      <c r="C25" s="3156">
        <f>IF(B25="",1,(LOOKUP(B25,$3:$3,$4:$4)-LOOKUP($B$24,$3:$3,$4:$4)+100)/100)</f>
        <v>1</v>
      </c>
      <c r="D25" s="3430" t="s">
        <v>4094</v>
      </c>
      <c r="E25" s="3156">
        <f>(SUMIF($5:$5,D25,$6:$6)-SUMIF($5:$5,$D$24,$6:$6)+100)/100</f>
        <v>1</v>
      </c>
      <c r="F25" s="3430"/>
      <c r="G25" s="3156">
        <f>(SUMIF($7:$7,F25,$8:$8)-SUMIF($7:$7,$F$24,$8:$8)+100)/100</f>
        <v>1</v>
      </c>
      <c r="H25" s="3430"/>
      <c r="I25" s="3156">
        <f>(SUMIF($9:$9,H25,$10:$10)-SUMIF($9:$9,$H$24,$10:$10)+100)/100</f>
        <v>1</v>
      </c>
      <c r="J25" s="3430"/>
      <c r="K25" s="3156">
        <f>(SUMIF($11:$11,J25,$12:$12)-SUMIF($11:$11,$J$24,$12:$12)+100)/100</f>
        <v>1</v>
      </c>
      <c r="L25" s="3430"/>
      <c r="M25" s="3156">
        <f>(SUMIF($13:$13,L25,$14:$14)-SUMIF($13:$13,$L$24,$14:$14)+100)/100</f>
        <v>1</v>
      </c>
      <c r="N25" s="3430"/>
      <c r="O25" s="3156">
        <f>(SUMIF($15:$15,N25,$16:$16)-SUMIF($15:$15,$N$24,$16:$16)+100)/100</f>
        <v>1</v>
      </c>
      <c r="P25" s="3430"/>
      <c r="Q25" s="3156">
        <f>(SUMIF($17:$17,P25,$18:$18)-SUMIF($17:$17,$P$24,$18:$18)+100)/100</f>
        <v>1</v>
      </c>
      <c r="R25" s="3921">
        <f ca="1">IF(B25="",0,ROUND($R$24*C25*E25*G25*I25*K25*M25*O25*Q25,4))</f>
        <v>12.843</v>
      </c>
      <c r="S25" s="4017">
        <f ca="1">ROUND(R25*B25/10000,4)</f>
        <v>5.4100000000000002E-2</v>
      </c>
    </row>
    <row r="26" spans="1:45">
      <c r="A26" s="3157" t="s">
        <v>4115</v>
      </c>
      <c r="B26" s="3428">
        <v>42.16</v>
      </c>
      <c r="C26" s="3156">
        <f t="shared" ref="C26:C89" si="11">IF(B26="",1,(LOOKUP(B26,$3:$3,$4:$4)-LOOKUP($B$24,$3:$3,$4:$4)+100)/100)</f>
        <v>1</v>
      </c>
      <c r="D26" s="3430" t="s">
        <v>4118</v>
      </c>
      <c r="E26" s="3156">
        <f t="shared" ref="E26:E89" si="12">(SUMIF($5:$5,D26,$6:$6)-SUMIF($5:$5,$D$24,$6:$6)+100)/100</f>
        <v>0.98</v>
      </c>
      <c r="F26" s="3430"/>
      <c r="G26" s="3156">
        <f t="shared" ref="G26:G89" si="13">(SUMIF($7:$7,F26,$8:$8)-SUMIF($7:$7,$F$24,$8:$8)+100)/100</f>
        <v>1</v>
      </c>
      <c r="H26" s="3430"/>
      <c r="I26" s="3156">
        <f t="shared" ref="I26:I89" si="14">(SUMIF($9:$9,H26,$10:$10)-SUMIF($9:$9,$H$24,$10:$10)+100)/100</f>
        <v>1</v>
      </c>
      <c r="J26" s="3430"/>
      <c r="K26" s="3156">
        <f t="shared" ref="K26:K89" si="15">(SUMIF($11:$11,J26,$12:$12)-SUMIF($11:$11,$J$24,$12:$12)+100)/100</f>
        <v>1</v>
      </c>
      <c r="L26" s="3430"/>
      <c r="M26" s="3156">
        <f t="shared" ref="M26:M89" si="16">(SUMIF($13:$13,L26,$14:$14)-SUMIF($13:$13,$L$24,$14:$14)+100)/100</f>
        <v>1</v>
      </c>
      <c r="N26" s="3430"/>
      <c r="O26" s="3156">
        <f t="shared" ref="O26:O89" si="17">(SUMIF($15:$15,N26,$16:$16)-SUMIF($15:$15,$N$24,$16:$16)+100)/100</f>
        <v>1</v>
      </c>
      <c r="P26" s="3430"/>
      <c r="Q26" s="3156">
        <f t="shared" ref="Q26:Q89" si="18">(SUMIF($17:$17,P26,$18:$18)-SUMIF($17:$17,$P$24,$18:$18)+100)/100</f>
        <v>1</v>
      </c>
      <c r="R26" s="3921">
        <f ca="1">IF(B26="",0,ROUND($R$24*C26*E26*G26*I26*K26*M26*O26*Q26,4))</f>
        <v>12.5861</v>
      </c>
      <c r="S26" s="4017">
        <f ca="1">ROUND(R26*B26/10000,4)</f>
        <v>5.3100000000000001E-2</v>
      </c>
    </row>
    <row r="27" spans="1:45">
      <c r="A27" s="3157"/>
      <c r="B27" s="3428"/>
      <c r="C27" s="3156">
        <f t="shared" si="11"/>
        <v>1</v>
      </c>
      <c r="D27" s="3430"/>
      <c r="E27" s="3156">
        <f t="shared" si="12"/>
        <v>0</v>
      </c>
      <c r="F27" s="3430"/>
      <c r="G27" s="3156">
        <f t="shared" si="13"/>
        <v>1</v>
      </c>
      <c r="H27" s="3430"/>
      <c r="I27" s="3156">
        <f t="shared" si="14"/>
        <v>1</v>
      </c>
      <c r="J27" s="3430"/>
      <c r="K27" s="3156">
        <f t="shared" si="15"/>
        <v>1</v>
      </c>
      <c r="L27" s="3430"/>
      <c r="M27" s="3156">
        <f t="shared" si="16"/>
        <v>1</v>
      </c>
      <c r="N27" s="3430"/>
      <c r="O27" s="3156">
        <f t="shared" si="17"/>
        <v>1</v>
      </c>
      <c r="P27" s="3430"/>
      <c r="Q27" s="3156">
        <f t="shared" si="18"/>
        <v>1</v>
      </c>
      <c r="R27" s="3921">
        <f t="shared" ref="R27:R89" si="19">IF(B27="",0,ROUND($R$24*C27*E27*G27*I27*K27*M27*O27*Q27,0))</f>
        <v>0</v>
      </c>
      <c r="S27" s="4017">
        <f t="shared" ref="S27:S54" si="20">ROUND(R27*B27/10000,0)</f>
        <v>0</v>
      </c>
    </row>
    <row r="28" spans="1:45">
      <c r="A28" s="3157"/>
      <c r="B28" s="3428"/>
      <c r="C28" s="3156">
        <f t="shared" si="11"/>
        <v>1</v>
      </c>
      <c r="D28" s="3430"/>
      <c r="E28" s="3156">
        <f t="shared" si="12"/>
        <v>0</v>
      </c>
      <c r="F28" s="3430"/>
      <c r="G28" s="3156">
        <f t="shared" si="13"/>
        <v>1</v>
      </c>
      <c r="H28" s="3430"/>
      <c r="I28" s="3156">
        <f t="shared" si="14"/>
        <v>1</v>
      </c>
      <c r="J28" s="3430"/>
      <c r="K28" s="3156">
        <f t="shared" si="15"/>
        <v>1</v>
      </c>
      <c r="L28" s="3430"/>
      <c r="M28" s="3156">
        <f t="shared" si="16"/>
        <v>1</v>
      </c>
      <c r="N28" s="3430"/>
      <c r="O28" s="3156">
        <f t="shared" si="17"/>
        <v>1</v>
      </c>
      <c r="P28" s="3430"/>
      <c r="Q28" s="3156">
        <f t="shared" si="18"/>
        <v>1</v>
      </c>
      <c r="R28" s="3921">
        <f t="shared" si="19"/>
        <v>0</v>
      </c>
      <c r="S28" s="4017">
        <f t="shared" si="20"/>
        <v>0</v>
      </c>
    </row>
    <row r="29" spans="1:45">
      <c r="A29" s="3157"/>
      <c r="B29" s="3428"/>
      <c r="C29" s="3156">
        <f t="shared" si="11"/>
        <v>1</v>
      </c>
      <c r="D29" s="3430"/>
      <c r="E29" s="3156">
        <f t="shared" si="12"/>
        <v>0</v>
      </c>
      <c r="F29" s="3430"/>
      <c r="G29" s="3156">
        <f t="shared" si="13"/>
        <v>1</v>
      </c>
      <c r="H29" s="3430"/>
      <c r="I29" s="3156">
        <f t="shared" si="14"/>
        <v>1</v>
      </c>
      <c r="J29" s="3430"/>
      <c r="K29" s="3156">
        <f t="shared" si="15"/>
        <v>1</v>
      </c>
      <c r="L29" s="3430"/>
      <c r="M29" s="3156">
        <f t="shared" si="16"/>
        <v>1</v>
      </c>
      <c r="N29" s="3430"/>
      <c r="O29" s="3156">
        <f t="shared" si="17"/>
        <v>1</v>
      </c>
      <c r="P29" s="3430"/>
      <c r="Q29" s="3156">
        <f t="shared" si="18"/>
        <v>1</v>
      </c>
      <c r="R29" s="3921">
        <f t="shared" si="19"/>
        <v>0</v>
      </c>
      <c r="S29" s="4017">
        <f t="shared" si="20"/>
        <v>0</v>
      </c>
    </row>
    <row r="30" spans="1:45">
      <c r="A30" s="3157"/>
      <c r="B30" s="3428"/>
      <c r="C30" s="3156">
        <f t="shared" si="11"/>
        <v>1</v>
      </c>
      <c r="D30" s="3430"/>
      <c r="E30" s="3156">
        <f t="shared" si="12"/>
        <v>0</v>
      </c>
      <c r="F30" s="3430"/>
      <c r="G30" s="3156">
        <f t="shared" si="13"/>
        <v>1</v>
      </c>
      <c r="H30" s="3430"/>
      <c r="I30" s="3156">
        <f t="shared" si="14"/>
        <v>1</v>
      </c>
      <c r="J30" s="3430"/>
      <c r="K30" s="3156">
        <f t="shared" si="15"/>
        <v>1</v>
      </c>
      <c r="L30" s="3430"/>
      <c r="M30" s="3156">
        <f t="shared" si="16"/>
        <v>1</v>
      </c>
      <c r="N30" s="3430"/>
      <c r="O30" s="3156">
        <f t="shared" si="17"/>
        <v>1</v>
      </c>
      <c r="P30" s="3430"/>
      <c r="Q30" s="3156">
        <f t="shared" si="18"/>
        <v>1</v>
      </c>
      <c r="R30" s="3921">
        <f t="shared" si="19"/>
        <v>0</v>
      </c>
      <c r="S30" s="4017">
        <f t="shared" si="20"/>
        <v>0</v>
      </c>
    </row>
    <row r="31" spans="1:45">
      <c r="A31" s="3157"/>
      <c r="B31" s="3428"/>
      <c r="C31" s="3156">
        <f t="shared" si="11"/>
        <v>1</v>
      </c>
      <c r="D31" s="3430"/>
      <c r="E31" s="3156">
        <f t="shared" si="12"/>
        <v>0</v>
      </c>
      <c r="F31" s="3430"/>
      <c r="G31" s="3156">
        <f t="shared" si="13"/>
        <v>1</v>
      </c>
      <c r="H31" s="3430"/>
      <c r="I31" s="3156">
        <f t="shared" si="14"/>
        <v>1</v>
      </c>
      <c r="J31" s="3430"/>
      <c r="K31" s="3156">
        <f t="shared" si="15"/>
        <v>1</v>
      </c>
      <c r="L31" s="3430"/>
      <c r="M31" s="3156">
        <f t="shared" si="16"/>
        <v>1</v>
      </c>
      <c r="N31" s="3430"/>
      <c r="O31" s="3156">
        <f t="shared" si="17"/>
        <v>1</v>
      </c>
      <c r="P31" s="3430"/>
      <c r="Q31" s="3156">
        <f t="shared" si="18"/>
        <v>1</v>
      </c>
      <c r="R31" s="3921">
        <f t="shared" si="19"/>
        <v>0</v>
      </c>
      <c r="S31" s="4017">
        <f t="shared" si="20"/>
        <v>0</v>
      </c>
    </row>
    <row r="32" spans="1:45">
      <c r="A32" s="3157"/>
      <c r="B32" s="3428"/>
      <c r="C32" s="3156">
        <f t="shared" si="11"/>
        <v>1</v>
      </c>
      <c r="D32" s="3430"/>
      <c r="E32" s="3156">
        <f t="shared" si="12"/>
        <v>0</v>
      </c>
      <c r="F32" s="3430"/>
      <c r="G32" s="3156">
        <f t="shared" si="13"/>
        <v>1</v>
      </c>
      <c r="H32" s="3430"/>
      <c r="I32" s="3156">
        <f t="shared" si="14"/>
        <v>1</v>
      </c>
      <c r="J32" s="3430"/>
      <c r="K32" s="3156">
        <f t="shared" si="15"/>
        <v>1</v>
      </c>
      <c r="L32" s="3430"/>
      <c r="M32" s="3156">
        <f t="shared" si="16"/>
        <v>1</v>
      </c>
      <c r="N32" s="3430"/>
      <c r="O32" s="3156">
        <f t="shared" si="17"/>
        <v>1</v>
      </c>
      <c r="P32" s="3430"/>
      <c r="Q32" s="3156">
        <f t="shared" si="18"/>
        <v>1</v>
      </c>
      <c r="R32" s="3921">
        <f t="shared" si="19"/>
        <v>0</v>
      </c>
      <c r="S32" s="4017">
        <f t="shared" si="20"/>
        <v>0</v>
      </c>
    </row>
    <row r="33" spans="1:19">
      <c r="A33" s="3157"/>
      <c r="B33" s="3428"/>
      <c r="C33" s="3156">
        <f t="shared" si="11"/>
        <v>1</v>
      </c>
      <c r="D33" s="3430"/>
      <c r="E33" s="3156">
        <f t="shared" si="12"/>
        <v>0</v>
      </c>
      <c r="F33" s="3430"/>
      <c r="G33" s="3156">
        <f t="shared" si="13"/>
        <v>1</v>
      </c>
      <c r="H33" s="3430"/>
      <c r="I33" s="3156">
        <f t="shared" si="14"/>
        <v>1</v>
      </c>
      <c r="J33" s="3430"/>
      <c r="K33" s="3156">
        <f t="shared" si="15"/>
        <v>1</v>
      </c>
      <c r="L33" s="3430"/>
      <c r="M33" s="3156">
        <f t="shared" si="16"/>
        <v>1</v>
      </c>
      <c r="N33" s="3430"/>
      <c r="O33" s="3156">
        <f t="shared" si="17"/>
        <v>1</v>
      </c>
      <c r="P33" s="3430"/>
      <c r="Q33" s="3156">
        <f t="shared" si="18"/>
        <v>1</v>
      </c>
      <c r="R33" s="3921">
        <f t="shared" si="19"/>
        <v>0</v>
      </c>
      <c r="S33" s="4017">
        <f t="shared" si="20"/>
        <v>0</v>
      </c>
    </row>
    <row r="34" spans="1:19">
      <c r="A34" s="3157"/>
      <c r="B34" s="3428"/>
      <c r="C34" s="3156">
        <f t="shared" si="11"/>
        <v>1</v>
      </c>
      <c r="D34" s="3430"/>
      <c r="E34" s="3156">
        <f t="shared" si="12"/>
        <v>0</v>
      </c>
      <c r="F34" s="3430"/>
      <c r="G34" s="3156">
        <f t="shared" si="13"/>
        <v>1</v>
      </c>
      <c r="H34" s="3430"/>
      <c r="I34" s="3156">
        <f t="shared" si="14"/>
        <v>1</v>
      </c>
      <c r="J34" s="3430"/>
      <c r="K34" s="3156">
        <f t="shared" si="15"/>
        <v>1</v>
      </c>
      <c r="L34" s="3430"/>
      <c r="M34" s="3156">
        <f t="shared" si="16"/>
        <v>1</v>
      </c>
      <c r="N34" s="3430"/>
      <c r="O34" s="3156">
        <f t="shared" si="17"/>
        <v>1</v>
      </c>
      <c r="P34" s="3430"/>
      <c r="Q34" s="3156">
        <f t="shared" si="18"/>
        <v>1</v>
      </c>
      <c r="R34" s="3921">
        <f t="shared" si="19"/>
        <v>0</v>
      </c>
      <c r="S34" s="4017">
        <f t="shared" si="20"/>
        <v>0</v>
      </c>
    </row>
    <row r="35" spans="1:19">
      <c r="A35" s="3157"/>
      <c r="B35" s="3428"/>
      <c r="C35" s="3156">
        <f t="shared" si="11"/>
        <v>1</v>
      </c>
      <c r="D35" s="3430"/>
      <c r="E35" s="3156">
        <f t="shared" si="12"/>
        <v>0</v>
      </c>
      <c r="F35" s="3430"/>
      <c r="G35" s="3156">
        <f t="shared" si="13"/>
        <v>1</v>
      </c>
      <c r="H35" s="3430"/>
      <c r="I35" s="3156">
        <f t="shared" si="14"/>
        <v>1</v>
      </c>
      <c r="J35" s="3430"/>
      <c r="K35" s="3156">
        <f t="shared" si="15"/>
        <v>1</v>
      </c>
      <c r="L35" s="3430"/>
      <c r="M35" s="3156">
        <f t="shared" si="16"/>
        <v>1</v>
      </c>
      <c r="N35" s="3430"/>
      <c r="O35" s="3156">
        <f t="shared" si="17"/>
        <v>1</v>
      </c>
      <c r="P35" s="3430"/>
      <c r="Q35" s="3156">
        <f t="shared" si="18"/>
        <v>1</v>
      </c>
      <c r="R35" s="3921">
        <f t="shared" si="19"/>
        <v>0</v>
      </c>
      <c r="S35" s="4017">
        <f t="shared" si="20"/>
        <v>0</v>
      </c>
    </row>
    <row r="36" spans="1:19">
      <c r="A36" s="3157"/>
      <c r="B36" s="3428"/>
      <c r="C36" s="3156">
        <f t="shared" si="11"/>
        <v>1</v>
      </c>
      <c r="D36" s="3430"/>
      <c r="E36" s="3156">
        <f t="shared" si="12"/>
        <v>0</v>
      </c>
      <c r="F36" s="3430"/>
      <c r="G36" s="3156">
        <f t="shared" si="13"/>
        <v>1</v>
      </c>
      <c r="H36" s="3430"/>
      <c r="I36" s="3156">
        <f t="shared" si="14"/>
        <v>1</v>
      </c>
      <c r="J36" s="3430"/>
      <c r="K36" s="3156">
        <f t="shared" si="15"/>
        <v>1</v>
      </c>
      <c r="L36" s="3430"/>
      <c r="M36" s="3156">
        <f t="shared" si="16"/>
        <v>1</v>
      </c>
      <c r="N36" s="3430"/>
      <c r="O36" s="3156">
        <f t="shared" si="17"/>
        <v>1</v>
      </c>
      <c r="P36" s="3430"/>
      <c r="Q36" s="3156">
        <f t="shared" si="18"/>
        <v>1</v>
      </c>
      <c r="R36" s="3921">
        <f t="shared" si="19"/>
        <v>0</v>
      </c>
      <c r="S36" s="4017">
        <f t="shared" si="20"/>
        <v>0</v>
      </c>
    </row>
    <row r="37" spans="1:19">
      <c r="A37" s="3157"/>
      <c r="B37" s="3428"/>
      <c r="C37" s="3156">
        <f t="shared" si="11"/>
        <v>1</v>
      </c>
      <c r="D37" s="3430"/>
      <c r="E37" s="3156">
        <f t="shared" si="12"/>
        <v>0</v>
      </c>
      <c r="F37" s="3430"/>
      <c r="G37" s="3156">
        <f t="shared" si="13"/>
        <v>1</v>
      </c>
      <c r="H37" s="3430"/>
      <c r="I37" s="3156">
        <f t="shared" si="14"/>
        <v>1</v>
      </c>
      <c r="J37" s="3430"/>
      <c r="K37" s="3156">
        <f t="shared" si="15"/>
        <v>1</v>
      </c>
      <c r="L37" s="3430"/>
      <c r="M37" s="3156">
        <f t="shared" si="16"/>
        <v>1</v>
      </c>
      <c r="N37" s="3430"/>
      <c r="O37" s="3156">
        <f t="shared" si="17"/>
        <v>1</v>
      </c>
      <c r="P37" s="3430"/>
      <c r="Q37" s="3156">
        <f t="shared" si="18"/>
        <v>1</v>
      </c>
      <c r="R37" s="3921">
        <f t="shared" si="19"/>
        <v>0</v>
      </c>
      <c r="S37" s="4017">
        <f t="shared" si="20"/>
        <v>0</v>
      </c>
    </row>
    <row r="38" spans="1:19">
      <c r="A38" s="3157"/>
      <c r="B38" s="3428"/>
      <c r="C38" s="3156">
        <f t="shared" si="11"/>
        <v>1</v>
      </c>
      <c r="D38" s="3430"/>
      <c r="E38" s="3156">
        <f t="shared" si="12"/>
        <v>0</v>
      </c>
      <c r="F38" s="3430"/>
      <c r="G38" s="3156">
        <f t="shared" si="13"/>
        <v>1</v>
      </c>
      <c r="H38" s="3430"/>
      <c r="I38" s="3156">
        <f t="shared" si="14"/>
        <v>1</v>
      </c>
      <c r="J38" s="3430"/>
      <c r="K38" s="3156">
        <f t="shared" si="15"/>
        <v>1</v>
      </c>
      <c r="L38" s="3430"/>
      <c r="M38" s="3156">
        <f t="shared" si="16"/>
        <v>1</v>
      </c>
      <c r="N38" s="3430"/>
      <c r="O38" s="3156">
        <f t="shared" si="17"/>
        <v>1</v>
      </c>
      <c r="P38" s="3430"/>
      <c r="Q38" s="3156">
        <f t="shared" si="18"/>
        <v>1</v>
      </c>
      <c r="R38" s="3921">
        <f t="shared" si="19"/>
        <v>0</v>
      </c>
      <c r="S38" s="4017">
        <f t="shared" si="20"/>
        <v>0</v>
      </c>
    </row>
    <row r="39" spans="1:19">
      <c r="A39" s="3157"/>
      <c r="B39" s="3428"/>
      <c r="C39" s="3156">
        <f t="shared" si="11"/>
        <v>1</v>
      </c>
      <c r="D39" s="3430"/>
      <c r="E39" s="3156">
        <f t="shared" si="12"/>
        <v>0</v>
      </c>
      <c r="F39" s="3430"/>
      <c r="G39" s="3156">
        <f t="shared" si="13"/>
        <v>1</v>
      </c>
      <c r="H39" s="3430"/>
      <c r="I39" s="3156">
        <f t="shared" si="14"/>
        <v>1</v>
      </c>
      <c r="J39" s="3430"/>
      <c r="K39" s="3156">
        <f t="shared" si="15"/>
        <v>1</v>
      </c>
      <c r="L39" s="3430"/>
      <c r="M39" s="3156">
        <f t="shared" si="16"/>
        <v>1</v>
      </c>
      <c r="N39" s="3430"/>
      <c r="O39" s="3156">
        <f t="shared" si="17"/>
        <v>1</v>
      </c>
      <c r="P39" s="3430"/>
      <c r="Q39" s="3156">
        <f t="shared" si="18"/>
        <v>1</v>
      </c>
      <c r="R39" s="3921">
        <f t="shared" si="19"/>
        <v>0</v>
      </c>
      <c r="S39" s="4017">
        <f t="shared" si="20"/>
        <v>0</v>
      </c>
    </row>
    <row r="40" spans="1:19">
      <c r="A40" s="3157"/>
      <c r="B40" s="3428"/>
      <c r="C40" s="3156">
        <f t="shared" si="11"/>
        <v>1</v>
      </c>
      <c r="D40" s="3430"/>
      <c r="E40" s="3156">
        <f t="shared" si="12"/>
        <v>0</v>
      </c>
      <c r="F40" s="3430"/>
      <c r="G40" s="3156">
        <f t="shared" si="13"/>
        <v>1</v>
      </c>
      <c r="H40" s="3430"/>
      <c r="I40" s="3156">
        <f t="shared" si="14"/>
        <v>1</v>
      </c>
      <c r="J40" s="3430"/>
      <c r="K40" s="3156">
        <f t="shared" si="15"/>
        <v>1</v>
      </c>
      <c r="L40" s="3430"/>
      <c r="M40" s="3156">
        <f t="shared" si="16"/>
        <v>1</v>
      </c>
      <c r="N40" s="3430"/>
      <c r="O40" s="3156">
        <f t="shared" si="17"/>
        <v>1</v>
      </c>
      <c r="P40" s="3430"/>
      <c r="Q40" s="3156">
        <f t="shared" si="18"/>
        <v>1</v>
      </c>
      <c r="R40" s="3921">
        <f t="shared" si="19"/>
        <v>0</v>
      </c>
      <c r="S40" s="4017">
        <f t="shared" si="20"/>
        <v>0</v>
      </c>
    </row>
    <row r="41" spans="1:19">
      <c r="A41" s="3157"/>
      <c r="B41" s="3428"/>
      <c r="C41" s="3156">
        <f t="shared" si="11"/>
        <v>1</v>
      </c>
      <c r="D41" s="3430"/>
      <c r="E41" s="3156">
        <f t="shared" si="12"/>
        <v>0</v>
      </c>
      <c r="F41" s="3430"/>
      <c r="G41" s="3156">
        <f t="shared" si="13"/>
        <v>1</v>
      </c>
      <c r="H41" s="3430"/>
      <c r="I41" s="3156">
        <f t="shared" si="14"/>
        <v>1</v>
      </c>
      <c r="J41" s="3430"/>
      <c r="K41" s="3156">
        <f t="shared" si="15"/>
        <v>1</v>
      </c>
      <c r="L41" s="3430"/>
      <c r="M41" s="3156">
        <f t="shared" si="16"/>
        <v>1</v>
      </c>
      <c r="N41" s="3430"/>
      <c r="O41" s="3156">
        <f t="shared" si="17"/>
        <v>1</v>
      </c>
      <c r="P41" s="3430"/>
      <c r="Q41" s="3156">
        <f t="shared" si="18"/>
        <v>1</v>
      </c>
      <c r="R41" s="3921">
        <f t="shared" si="19"/>
        <v>0</v>
      </c>
      <c r="S41" s="4017">
        <f t="shared" si="20"/>
        <v>0</v>
      </c>
    </row>
    <row r="42" spans="1:19">
      <c r="A42" s="3157"/>
      <c r="B42" s="3428"/>
      <c r="C42" s="3156">
        <f t="shared" si="11"/>
        <v>1</v>
      </c>
      <c r="D42" s="3430"/>
      <c r="E42" s="3156">
        <f t="shared" si="12"/>
        <v>0</v>
      </c>
      <c r="F42" s="3430"/>
      <c r="G42" s="3156">
        <f t="shared" si="13"/>
        <v>1</v>
      </c>
      <c r="H42" s="3430"/>
      <c r="I42" s="3156">
        <f t="shared" si="14"/>
        <v>1</v>
      </c>
      <c r="J42" s="3430"/>
      <c r="K42" s="3156">
        <f t="shared" si="15"/>
        <v>1</v>
      </c>
      <c r="L42" s="3430"/>
      <c r="M42" s="3156">
        <f t="shared" si="16"/>
        <v>1</v>
      </c>
      <c r="N42" s="3430"/>
      <c r="O42" s="3156">
        <f t="shared" si="17"/>
        <v>1</v>
      </c>
      <c r="P42" s="3430"/>
      <c r="Q42" s="3156">
        <f t="shared" si="18"/>
        <v>1</v>
      </c>
      <c r="R42" s="3921">
        <f t="shared" si="19"/>
        <v>0</v>
      </c>
      <c r="S42" s="4017">
        <f t="shared" si="20"/>
        <v>0</v>
      </c>
    </row>
    <row r="43" spans="1:19">
      <c r="A43" s="3157"/>
      <c r="B43" s="3428"/>
      <c r="C43" s="3156">
        <f t="shared" si="11"/>
        <v>1</v>
      </c>
      <c r="D43" s="3430"/>
      <c r="E43" s="3156">
        <f t="shared" si="12"/>
        <v>0</v>
      </c>
      <c r="F43" s="3430"/>
      <c r="G43" s="3156">
        <f t="shared" si="13"/>
        <v>1</v>
      </c>
      <c r="H43" s="3430"/>
      <c r="I43" s="3156">
        <f t="shared" si="14"/>
        <v>1</v>
      </c>
      <c r="J43" s="3430"/>
      <c r="K43" s="3156">
        <f t="shared" si="15"/>
        <v>1</v>
      </c>
      <c r="L43" s="3430"/>
      <c r="M43" s="3156">
        <f t="shared" si="16"/>
        <v>1</v>
      </c>
      <c r="N43" s="3430"/>
      <c r="O43" s="3156">
        <f t="shared" si="17"/>
        <v>1</v>
      </c>
      <c r="P43" s="3430"/>
      <c r="Q43" s="3156">
        <f t="shared" si="18"/>
        <v>1</v>
      </c>
      <c r="R43" s="3921">
        <f t="shared" si="19"/>
        <v>0</v>
      </c>
      <c r="S43" s="4017">
        <f t="shared" si="20"/>
        <v>0</v>
      </c>
    </row>
    <row r="44" spans="1:19">
      <c r="A44" s="3157"/>
      <c r="B44" s="3428"/>
      <c r="C44" s="3156">
        <f t="shared" si="11"/>
        <v>1</v>
      </c>
      <c r="D44" s="3430"/>
      <c r="E44" s="3156">
        <f t="shared" si="12"/>
        <v>0</v>
      </c>
      <c r="F44" s="3430"/>
      <c r="G44" s="3156">
        <f t="shared" si="13"/>
        <v>1</v>
      </c>
      <c r="H44" s="3430"/>
      <c r="I44" s="3156">
        <f t="shared" si="14"/>
        <v>1</v>
      </c>
      <c r="J44" s="3430"/>
      <c r="K44" s="3156">
        <f t="shared" si="15"/>
        <v>1</v>
      </c>
      <c r="L44" s="3430"/>
      <c r="M44" s="3156">
        <f t="shared" si="16"/>
        <v>1</v>
      </c>
      <c r="N44" s="3430"/>
      <c r="O44" s="3156">
        <f t="shared" si="17"/>
        <v>1</v>
      </c>
      <c r="P44" s="3430"/>
      <c r="Q44" s="3156">
        <f t="shared" si="18"/>
        <v>1</v>
      </c>
      <c r="R44" s="3921">
        <f t="shared" si="19"/>
        <v>0</v>
      </c>
      <c r="S44" s="4017">
        <f t="shared" si="20"/>
        <v>0</v>
      </c>
    </row>
    <row r="45" spans="1:19">
      <c r="A45" s="3157"/>
      <c r="B45" s="3428"/>
      <c r="C45" s="3156">
        <f t="shared" si="11"/>
        <v>1</v>
      </c>
      <c r="D45" s="3430"/>
      <c r="E45" s="3156">
        <f t="shared" si="12"/>
        <v>0</v>
      </c>
      <c r="F45" s="3430"/>
      <c r="G45" s="3156">
        <f t="shared" si="13"/>
        <v>1</v>
      </c>
      <c r="H45" s="3430"/>
      <c r="I45" s="3156">
        <f t="shared" si="14"/>
        <v>1</v>
      </c>
      <c r="J45" s="3430"/>
      <c r="K45" s="3156">
        <f t="shared" si="15"/>
        <v>1</v>
      </c>
      <c r="L45" s="3430"/>
      <c r="M45" s="3156">
        <f t="shared" si="16"/>
        <v>1</v>
      </c>
      <c r="N45" s="3430"/>
      <c r="O45" s="3156">
        <f t="shared" si="17"/>
        <v>1</v>
      </c>
      <c r="P45" s="3430"/>
      <c r="Q45" s="3156">
        <f t="shared" si="18"/>
        <v>1</v>
      </c>
      <c r="R45" s="3921">
        <f t="shared" si="19"/>
        <v>0</v>
      </c>
      <c r="S45" s="4017">
        <f t="shared" si="20"/>
        <v>0</v>
      </c>
    </row>
    <row r="46" spans="1:19">
      <c r="A46" s="3157"/>
      <c r="B46" s="3428"/>
      <c r="C46" s="3156">
        <f t="shared" si="11"/>
        <v>1</v>
      </c>
      <c r="D46" s="3430"/>
      <c r="E46" s="3156">
        <f t="shared" si="12"/>
        <v>0</v>
      </c>
      <c r="F46" s="3430"/>
      <c r="G46" s="3156">
        <f t="shared" si="13"/>
        <v>1</v>
      </c>
      <c r="H46" s="3430"/>
      <c r="I46" s="3156">
        <f t="shared" si="14"/>
        <v>1</v>
      </c>
      <c r="J46" s="3430"/>
      <c r="K46" s="3156">
        <f t="shared" si="15"/>
        <v>1</v>
      </c>
      <c r="L46" s="3430"/>
      <c r="M46" s="3156">
        <f t="shared" si="16"/>
        <v>1</v>
      </c>
      <c r="N46" s="3430"/>
      <c r="O46" s="3156">
        <f t="shared" si="17"/>
        <v>1</v>
      </c>
      <c r="P46" s="3430"/>
      <c r="Q46" s="3156">
        <f t="shared" si="18"/>
        <v>1</v>
      </c>
      <c r="R46" s="3921">
        <f t="shared" si="19"/>
        <v>0</v>
      </c>
      <c r="S46" s="4017">
        <f t="shared" si="20"/>
        <v>0</v>
      </c>
    </row>
    <row r="47" spans="1:19">
      <c r="A47" s="3157"/>
      <c r="B47" s="3428"/>
      <c r="C47" s="3156">
        <f t="shared" si="11"/>
        <v>1</v>
      </c>
      <c r="D47" s="3430"/>
      <c r="E47" s="3156">
        <f t="shared" si="12"/>
        <v>0</v>
      </c>
      <c r="F47" s="3430"/>
      <c r="G47" s="3156">
        <f t="shared" si="13"/>
        <v>1</v>
      </c>
      <c r="H47" s="3430"/>
      <c r="I47" s="3156">
        <f t="shared" si="14"/>
        <v>1</v>
      </c>
      <c r="J47" s="3430"/>
      <c r="K47" s="3156">
        <f t="shared" si="15"/>
        <v>1</v>
      </c>
      <c r="L47" s="3430"/>
      <c r="M47" s="3156">
        <f t="shared" si="16"/>
        <v>1</v>
      </c>
      <c r="N47" s="3430"/>
      <c r="O47" s="3156">
        <f t="shared" si="17"/>
        <v>1</v>
      </c>
      <c r="P47" s="3430"/>
      <c r="Q47" s="3156">
        <f t="shared" si="18"/>
        <v>1</v>
      </c>
      <c r="R47" s="3921">
        <f t="shared" si="19"/>
        <v>0</v>
      </c>
      <c r="S47" s="4017">
        <f t="shared" si="20"/>
        <v>0</v>
      </c>
    </row>
    <row r="48" spans="1:19">
      <c r="A48" s="3157"/>
      <c r="B48" s="3428"/>
      <c r="C48" s="3156">
        <f t="shared" si="11"/>
        <v>1</v>
      </c>
      <c r="D48" s="3430"/>
      <c r="E48" s="3156">
        <f t="shared" si="12"/>
        <v>0</v>
      </c>
      <c r="F48" s="3430"/>
      <c r="G48" s="3156">
        <f t="shared" si="13"/>
        <v>1</v>
      </c>
      <c r="H48" s="3430"/>
      <c r="I48" s="3156">
        <f t="shared" si="14"/>
        <v>1</v>
      </c>
      <c r="J48" s="3430"/>
      <c r="K48" s="3156">
        <f t="shared" si="15"/>
        <v>1</v>
      </c>
      <c r="L48" s="3430"/>
      <c r="M48" s="3156">
        <f t="shared" si="16"/>
        <v>1</v>
      </c>
      <c r="N48" s="3430"/>
      <c r="O48" s="3156">
        <f t="shared" si="17"/>
        <v>1</v>
      </c>
      <c r="P48" s="3430"/>
      <c r="Q48" s="3156">
        <f t="shared" si="18"/>
        <v>1</v>
      </c>
      <c r="R48" s="3921">
        <f t="shared" si="19"/>
        <v>0</v>
      </c>
      <c r="S48" s="4017">
        <f t="shared" si="20"/>
        <v>0</v>
      </c>
    </row>
    <row r="49" spans="1:19">
      <c r="A49" s="3157"/>
      <c r="B49" s="3428"/>
      <c r="C49" s="3156">
        <f t="shared" si="11"/>
        <v>1</v>
      </c>
      <c r="D49" s="3430"/>
      <c r="E49" s="3156">
        <f t="shared" si="12"/>
        <v>0</v>
      </c>
      <c r="F49" s="3430"/>
      <c r="G49" s="3156">
        <f t="shared" si="13"/>
        <v>1</v>
      </c>
      <c r="H49" s="3430"/>
      <c r="I49" s="3156">
        <f t="shared" si="14"/>
        <v>1</v>
      </c>
      <c r="J49" s="3430"/>
      <c r="K49" s="3156">
        <f t="shared" si="15"/>
        <v>1</v>
      </c>
      <c r="L49" s="3430"/>
      <c r="M49" s="3156">
        <f t="shared" si="16"/>
        <v>1</v>
      </c>
      <c r="N49" s="3430"/>
      <c r="O49" s="3156">
        <f t="shared" si="17"/>
        <v>1</v>
      </c>
      <c r="P49" s="3430"/>
      <c r="Q49" s="3156">
        <f t="shared" si="18"/>
        <v>1</v>
      </c>
      <c r="R49" s="3921">
        <f t="shared" si="19"/>
        <v>0</v>
      </c>
      <c r="S49" s="4017">
        <f t="shared" si="20"/>
        <v>0</v>
      </c>
    </row>
    <row r="50" spans="1:19">
      <c r="A50" s="3157"/>
      <c r="B50" s="3428"/>
      <c r="C50" s="3156">
        <f t="shared" si="11"/>
        <v>1</v>
      </c>
      <c r="D50" s="3430"/>
      <c r="E50" s="3156">
        <f t="shared" si="12"/>
        <v>0</v>
      </c>
      <c r="F50" s="3430"/>
      <c r="G50" s="3156">
        <f t="shared" si="13"/>
        <v>1</v>
      </c>
      <c r="H50" s="3430"/>
      <c r="I50" s="3156">
        <f t="shared" si="14"/>
        <v>1</v>
      </c>
      <c r="J50" s="3430"/>
      <c r="K50" s="3156">
        <f t="shared" si="15"/>
        <v>1</v>
      </c>
      <c r="L50" s="3430"/>
      <c r="M50" s="3156">
        <f t="shared" si="16"/>
        <v>1</v>
      </c>
      <c r="N50" s="3430"/>
      <c r="O50" s="3156">
        <f t="shared" si="17"/>
        <v>1</v>
      </c>
      <c r="P50" s="3430"/>
      <c r="Q50" s="3156">
        <f t="shared" si="18"/>
        <v>1</v>
      </c>
      <c r="R50" s="3921">
        <f t="shared" si="19"/>
        <v>0</v>
      </c>
      <c r="S50" s="4017">
        <f t="shared" si="20"/>
        <v>0</v>
      </c>
    </row>
    <row r="51" spans="1:19">
      <c r="A51" s="3157"/>
      <c r="B51" s="3428"/>
      <c r="C51" s="3156">
        <f t="shared" si="11"/>
        <v>1</v>
      </c>
      <c r="D51" s="3430"/>
      <c r="E51" s="3156">
        <f t="shared" si="12"/>
        <v>0</v>
      </c>
      <c r="F51" s="3430"/>
      <c r="G51" s="3156">
        <f t="shared" si="13"/>
        <v>1</v>
      </c>
      <c r="H51" s="3430"/>
      <c r="I51" s="3156">
        <f t="shared" si="14"/>
        <v>1</v>
      </c>
      <c r="J51" s="3430"/>
      <c r="K51" s="3156">
        <f t="shared" si="15"/>
        <v>1</v>
      </c>
      <c r="L51" s="3430"/>
      <c r="M51" s="3156">
        <f t="shared" si="16"/>
        <v>1</v>
      </c>
      <c r="N51" s="3430"/>
      <c r="O51" s="3156">
        <f t="shared" si="17"/>
        <v>1</v>
      </c>
      <c r="P51" s="3430"/>
      <c r="Q51" s="3156">
        <f t="shared" si="18"/>
        <v>1</v>
      </c>
      <c r="R51" s="3921">
        <f t="shared" si="19"/>
        <v>0</v>
      </c>
      <c r="S51" s="4017">
        <f t="shared" si="20"/>
        <v>0</v>
      </c>
    </row>
    <row r="52" spans="1:19">
      <c r="A52" s="3157"/>
      <c r="B52" s="3428"/>
      <c r="C52" s="3156">
        <f t="shared" si="11"/>
        <v>1</v>
      </c>
      <c r="D52" s="3430"/>
      <c r="E52" s="3156">
        <f t="shared" si="12"/>
        <v>0</v>
      </c>
      <c r="F52" s="3430"/>
      <c r="G52" s="3156">
        <f t="shared" si="13"/>
        <v>1</v>
      </c>
      <c r="H52" s="3430"/>
      <c r="I52" s="3156">
        <f t="shared" si="14"/>
        <v>1</v>
      </c>
      <c r="J52" s="3430"/>
      <c r="K52" s="3156">
        <f t="shared" si="15"/>
        <v>1</v>
      </c>
      <c r="L52" s="3430"/>
      <c r="M52" s="3156">
        <f t="shared" si="16"/>
        <v>1</v>
      </c>
      <c r="N52" s="3430"/>
      <c r="O52" s="3156">
        <f t="shared" si="17"/>
        <v>1</v>
      </c>
      <c r="P52" s="3430"/>
      <c r="Q52" s="3156">
        <f t="shared" si="18"/>
        <v>1</v>
      </c>
      <c r="R52" s="3921">
        <f t="shared" si="19"/>
        <v>0</v>
      </c>
      <c r="S52" s="4017">
        <f t="shared" si="20"/>
        <v>0</v>
      </c>
    </row>
    <row r="53" spans="1:19">
      <c r="A53" s="3157"/>
      <c r="B53" s="3428"/>
      <c r="C53" s="3156">
        <f t="shared" si="11"/>
        <v>1</v>
      </c>
      <c r="D53" s="3430"/>
      <c r="E53" s="3156">
        <f t="shared" si="12"/>
        <v>0</v>
      </c>
      <c r="F53" s="3430"/>
      <c r="G53" s="3156">
        <f t="shared" si="13"/>
        <v>1</v>
      </c>
      <c r="H53" s="3430"/>
      <c r="I53" s="3156">
        <f t="shared" si="14"/>
        <v>1</v>
      </c>
      <c r="J53" s="3430"/>
      <c r="K53" s="3156">
        <f t="shared" si="15"/>
        <v>1</v>
      </c>
      <c r="L53" s="3430"/>
      <c r="M53" s="3156">
        <f t="shared" si="16"/>
        <v>1</v>
      </c>
      <c r="N53" s="3430"/>
      <c r="O53" s="3156">
        <f t="shared" si="17"/>
        <v>1</v>
      </c>
      <c r="P53" s="3430"/>
      <c r="Q53" s="3156">
        <f t="shared" si="18"/>
        <v>1</v>
      </c>
      <c r="R53" s="3921">
        <f t="shared" si="19"/>
        <v>0</v>
      </c>
      <c r="S53" s="4017">
        <f t="shared" si="20"/>
        <v>0</v>
      </c>
    </row>
    <row r="54" spans="1:19">
      <c r="A54" s="3157"/>
      <c r="B54" s="3428"/>
      <c r="C54" s="3156">
        <f t="shared" si="11"/>
        <v>1</v>
      </c>
      <c r="D54" s="3430"/>
      <c r="E54" s="3156">
        <f t="shared" si="12"/>
        <v>0</v>
      </c>
      <c r="F54" s="3430"/>
      <c r="G54" s="3156">
        <f t="shared" si="13"/>
        <v>1</v>
      </c>
      <c r="H54" s="3430"/>
      <c r="I54" s="3156">
        <f t="shared" si="14"/>
        <v>1</v>
      </c>
      <c r="J54" s="3430"/>
      <c r="K54" s="3156">
        <f t="shared" si="15"/>
        <v>1</v>
      </c>
      <c r="L54" s="3430"/>
      <c r="M54" s="3156">
        <f t="shared" si="16"/>
        <v>1</v>
      </c>
      <c r="N54" s="3430"/>
      <c r="O54" s="3156">
        <f t="shared" si="17"/>
        <v>1</v>
      </c>
      <c r="P54" s="3430"/>
      <c r="Q54" s="3156">
        <f t="shared" si="18"/>
        <v>1</v>
      </c>
      <c r="R54" s="3921">
        <f t="shared" si="19"/>
        <v>0</v>
      </c>
      <c r="S54" s="4017">
        <f t="shared" si="20"/>
        <v>0</v>
      </c>
    </row>
    <row r="55" spans="1:19">
      <c r="A55" s="3157"/>
      <c r="B55" s="3428"/>
      <c r="C55" s="3156">
        <f t="shared" si="11"/>
        <v>1</v>
      </c>
      <c r="D55" s="3430"/>
      <c r="E55" s="3156">
        <f t="shared" si="12"/>
        <v>0</v>
      </c>
      <c r="F55" s="3430"/>
      <c r="G55" s="3156">
        <f t="shared" si="13"/>
        <v>1</v>
      </c>
      <c r="H55" s="3430"/>
      <c r="I55" s="3156">
        <f t="shared" si="14"/>
        <v>1</v>
      </c>
      <c r="J55" s="3430"/>
      <c r="K55" s="3156">
        <f t="shared" si="15"/>
        <v>1</v>
      </c>
      <c r="L55" s="3430"/>
      <c r="M55" s="3156">
        <f t="shared" si="16"/>
        <v>1</v>
      </c>
      <c r="N55" s="3430"/>
      <c r="O55" s="3156">
        <f t="shared" si="17"/>
        <v>1</v>
      </c>
      <c r="P55" s="3430"/>
      <c r="Q55" s="3156">
        <f t="shared" si="18"/>
        <v>1</v>
      </c>
      <c r="R55" s="3921">
        <f t="shared" si="19"/>
        <v>0</v>
      </c>
      <c r="S55" s="4017">
        <f t="shared" ref="S55:S77" si="21">ROUND(R55*B55/10000,0)</f>
        <v>0</v>
      </c>
    </row>
    <row r="56" spans="1:19">
      <c r="A56" s="3157"/>
      <c r="B56" s="3428"/>
      <c r="C56" s="3156">
        <f t="shared" si="11"/>
        <v>1</v>
      </c>
      <c r="D56" s="3430"/>
      <c r="E56" s="3156">
        <f t="shared" si="12"/>
        <v>0</v>
      </c>
      <c r="F56" s="3430"/>
      <c r="G56" s="3156">
        <f t="shared" si="13"/>
        <v>1</v>
      </c>
      <c r="H56" s="3430"/>
      <c r="I56" s="3156">
        <f t="shared" si="14"/>
        <v>1</v>
      </c>
      <c r="J56" s="3430"/>
      <c r="K56" s="3156">
        <f t="shared" si="15"/>
        <v>1</v>
      </c>
      <c r="L56" s="3430"/>
      <c r="M56" s="3156">
        <f t="shared" si="16"/>
        <v>1</v>
      </c>
      <c r="N56" s="3430"/>
      <c r="O56" s="3156">
        <f t="shared" si="17"/>
        <v>1</v>
      </c>
      <c r="P56" s="3430"/>
      <c r="Q56" s="3156">
        <f t="shared" si="18"/>
        <v>1</v>
      </c>
      <c r="R56" s="3921">
        <f t="shared" si="19"/>
        <v>0</v>
      </c>
      <c r="S56" s="4017">
        <f t="shared" si="21"/>
        <v>0</v>
      </c>
    </row>
    <row r="57" spans="1:19">
      <c r="A57" s="3157"/>
      <c r="B57" s="3428"/>
      <c r="C57" s="3156">
        <f t="shared" si="11"/>
        <v>1</v>
      </c>
      <c r="D57" s="3430"/>
      <c r="E57" s="3156">
        <f t="shared" si="12"/>
        <v>0</v>
      </c>
      <c r="F57" s="3430"/>
      <c r="G57" s="3156">
        <f t="shared" si="13"/>
        <v>1</v>
      </c>
      <c r="H57" s="3430"/>
      <c r="I57" s="3156">
        <f t="shared" si="14"/>
        <v>1</v>
      </c>
      <c r="J57" s="3430"/>
      <c r="K57" s="3156">
        <f t="shared" si="15"/>
        <v>1</v>
      </c>
      <c r="L57" s="3430"/>
      <c r="M57" s="3156">
        <f t="shared" si="16"/>
        <v>1</v>
      </c>
      <c r="N57" s="3430"/>
      <c r="O57" s="3156">
        <f t="shared" si="17"/>
        <v>1</v>
      </c>
      <c r="P57" s="3430"/>
      <c r="Q57" s="3156">
        <f t="shared" si="18"/>
        <v>1</v>
      </c>
      <c r="R57" s="3921">
        <f t="shared" si="19"/>
        <v>0</v>
      </c>
      <c r="S57" s="4017">
        <f t="shared" si="21"/>
        <v>0</v>
      </c>
    </row>
    <row r="58" spans="1:19">
      <c r="A58" s="3157"/>
      <c r="B58" s="3428"/>
      <c r="C58" s="3156">
        <f t="shared" si="11"/>
        <v>1</v>
      </c>
      <c r="D58" s="3430"/>
      <c r="E58" s="3156">
        <f t="shared" si="12"/>
        <v>0</v>
      </c>
      <c r="F58" s="3430"/>
      <c r="G58" s="3156">
        <f t="shared" si="13"/>
        <v>1</v>
      </c>
      <c r="H58" s="3430"/>
      <c r="I58" s="3156">
        <f t="shared" si="14"/>
        <v>1</v>
      </c>
      <c r="J58" s="3430"/>
      <c r="K58" s="3156">
        <f t="shared" si="15"/>
        <v>1</v>
      </c>
      <c r="L58" s="3430"/>
      <c r="M58" s="3156">
        <f t="shared" si="16"/>
        <v>1</v>
      </c>
      <c r="N58" s="3430"/>
      <c r="O58" s="3156">
        <f t="shared" si="17"/>
        <v>1</v>
      </c>
      <c r="P58" s="3430"/>
      <c r="Q58" s="3156">
        <f t="shared" si="18"/>
        <v>1</v>
      </c>
      <c r="R58" s="3921">
        <f t="shared" si="19"/>
        <v>0</v>
      </c>
      <c r="S58" s="4017">
        <f t="shared" si="21"/>
        <v>0</v>
      </c>
    </row>
    <row r="59" spans="1:19">
      <c r="A59" s="3157"/>
      <c r="B59" s="3428"/>
      <c r="C59" s="3156">
        <f t="shared" si="11"/>
        <v>1</v>
      </c>
      <c r="D59" s="3430"/>
      <c r="E59" s="3156">
        <f t="shared" si="12"/>
        <v>0</v>
      </c>
      <c r="F59" s="3430"/>
      <c r="G59" s="3156">
        <f t="shared" si="13"/>
        <v>1</v>
      </c>
      <c r="H59" s="3430"/>
      <c r="I59" s="3156">
        <f t="shared" si="14"/>
        <v>1</v>
      </c>
      <c r="J59" s="3430"/>
      <c r="K59" s="3156">
        <f t="shared" si="15"/>
        <v>1</v>
      </c>
      <c r="L59" s="3430"/>
      <c r="M59" s="3156">
        <f t="shared" si="16"/>
        <v>1</v>
      </c>
      <c r="N59" s="3430"/>
      <c r="O59" s="3156">
        <f t="shared" si="17"/>
        <v>1</v>
      </c>
      <c r="P59" s="3430"/>
      <c r="Q59" s="3156">
        <f t="shared" si="18"/>
        <v>1</v>
      </c>
      <c r="R59" s="3921">
        <f t="shared" si="19"/>
        <v>0</v>
      </c>
      <c r="S59" s="4017">
        <f t="shared" si="21"/>
        <v>0</v>
      </c>
    </row>
    <row r="60" spans="1:19">
      <c r="A60" s="3157"/>
      <c r="B60" s="3428"/>
      <c r="C60" s="3156">
        <f t="shared" si="11"/>
        <v>1</v>
      </c>
      <c r="D60" s="3430"/>
      <c r="E60" s="3156">
        <f t="shared" si="12"/>
        <v>0</v>
      </c>
      <c r="F60" s="3430"/>
      <c r="G60" s="3156">
        <f t="shared" si="13"/>
        <v>1</v>
      </c>
      <c r="H60" s="3430"/>
      <c r="I60" s="3156">
        <f t="shared" si="14"/>
        <v>1</v>
      </c>
      <c r="J60" s="3430"/>
      <c r="K60" s="3156">
        <f t="shared" si="15"/>
        <v>1</v>
      </c>
      <c r="L60" s="3430"/>
      <c r="M60" s="3156">
        <f t="shared" si="16"/>
        <v>1</v>
      </c>
      <c r="N60" s="3430"/>
      <c r="O60" s="3156">
        <f t="shared" si="17"/>
        <v>1</v>
      </c>
      <c r="P60" s="3430"/>
      <c r="Q60" s="3156">
        <f t="shared" si="18"/>
        <v>1</v>
      </c>
      <c r="R60" s="3921">
        <f t="shared" si="19"/>
        <v>0</v>
      </c>
      <c r="S60" s="4017">
        <f t="shared" si="21"/>
        <v>0</v>
      </c>
    </row>
    <row r="61" spans="1:19">
      <c r="A61" s="3157"/>
      <c r="B61" s="3428"/>
      <c r="C61" s="3156">
        <f t="shared" si="11"/>
        <v>1</v>
      </c>
      <c r="D61" s="3430"/>
      <c r="E61" s="3156">
        <f t="shared" si="12"/>
        <v>0</v>
      </c>
      <c r="F61" s="3430"/>
      <c r="G61" s="3156">
        <f t="shared" si="13"/>
        <v>1</v>
      </c>
      <c r="H61" s="3430"/>
      <c r="I61" s="3156">
        <f t="shared" si="14"/>
        <v>1</v>
      </c>
      <c r="J61" s="3430"/>
      <c r="K61" s="3156">
        <f t="shared" si="15"/>
        <v>1</v>
      </c>
      <c r="L61" s="3430"/>
      <c r="M61" s="3156">
        <f t="shared" si="16"/>
        <v>1</v>
      </c>
      <c r="N61" s="3430"/>
      <c r="O61" s="3156">
        <f t="shared" si="17"/>
        <v>1</v>
      </c>
      <c r="P61" s="3430"/>
      <c r="Q61" s="3156">
        <f t="shared" si="18"/>
        <v>1</v>
      </c>
      <c r="R61" s="3921">
        <f t="shared" si="19"/>
        <v>0</v>
      </c>
      <c r="S61" s="4017">
        <f t="shared" si="21"/>
        <v>0</v>
      </c>
    </row>
    <row r="62" spans="1:19">
      <c r="A62" s="3157"/>
      <c r="B62" s="3428"/>
      <c r="C62" s="3156">
        <f t="shared" si="11"/>
        <v>1</v>
      </c>
      <c r="D62" s="3430"/>
      <c r="E62" s="3156">
        <f t="shared" si="12"/>
        <v>0</v>
      </c>
      <c r="F62" s="3430"/>
      <c r="G62" s="3156">
        <f t="shared" si="13"/>
        <v>1</v>
      </c>
      <c r="H62" s="3430"/>
      <c r="I62" s="3156">
        <f t="shared" si="14"/>
        <v>1</v>
      </c>
      <c r="J62" s="3430"/>
      <c r="K62" s="3156">
        <f t="shared" si="15"/>
        <v>1</v>
      </c>
      <c r="L62" s="3430"/>
      <c r="M62" s="3156">
        <f t="shared" si="16"/>
        <v>1</v>
      </c>
      <c r="N62" s="3430"/>
      <c r="O62" s="3156">
        <f t="shared" si="17"/>
        <v>1</v>
      </c>
      <c r="P62" s="3430"/>
      <c r="Q62" s="3156">
        <f t="shared" si="18"/>
        <v>1</v>
      </c>
      <c r="R62" s="3921">
        <f t="shared" si="19"/>
        <v>0</v>
      </c>
      <c r="S62" s="4017">
        <f t="shared" si="21"/>
        <v>0</v>
      </c>
    </row>
    <row r="63" spans="1:19">
      <c r="A63" s="3157"/>
      <c r="B63" s="3428"/>
      <c r="C63" s="3156">
        <f t="shared" si="11"/>
        <v>1</v>
      </c>
      <c r="D63" s="3430"/>
      <c r="E63" s="3156">
        <f t="shared" si="12"/>
        <v>0</v>
      </c>
      <c r="F63" s="3430"/>
      <c r="G63" s="3156">
        <f t="shared" si="13"/>
        <v>1</v>
      </c>
      <c r="H63" s="3430"/>
      <c r="I63" s="3156">
        <f t="shared" si="14"/>
        <v>1</v>
      </c>
      <c r="J63" s="3430"/>
      <c r="K63" s="3156">
        <f t="shared" si="15"/>
        <v>1</v>
      </c>
      <c r="L63" s="3430"/>
      <c r="M63" s="3156">
        <f t="shared" si="16"/>
        <v>1</v>
      </c>
      <c r="N63" s="3430"/>
      <c r="O63" s="3156">
        <f t="shared" si="17"/>
        <v>1</v>
      </c>
      <c r="P63" s="3430"/>
      <c r="Q63" s="3156">
        <f t="shared" si="18"/>
        <v>1</v>
      </c>
      <c r="R63" s="3921">
        <f t="shared" si="19"/>
        <v>0</v>
      </c>
      <c r="S63" s="4017">
        <f t="shared" si="21"/>
        <v>0</v>
      </c>
    </row>
    <row r="64" spans="1:19">
      <c r="A64" s="3157"/>
      <c r="B64" s="3428"/>
      <c r="C64" s="3156">
        <f t="shared" si="11"/>
        <v>1</v>
      </c>
      <c r="D64" s="3430"/>
      <c r="E64" s="3156">
        <f t="shared" si="12"/>
        <v>0</v>
      </c>
      <c r="F64" s="3430"/>
      <c r="G64" s="3156">
        <f t="shared" si="13"/>
        <v>1</v>
      </c>
      <c r="H64" s="3430"/>
      <c r="I64" s="3156">
        <f t="shared" si="14"/>
        <v>1</v>
      </c>
      <c r="J64" s="3430"/>
      <c r="K64" s="3156">
        <f t="shared" si="15"/>
        <v>1</v>
      </c>
      <c r="L64" s="3430"/>
      <c r="M64" s="3156">
        <f t="shared" si="16"/>
        <v>1</v>
      </c>
      <c r="N64" s="3430"/>
      <c r="O64" s="3156">
        <f t="shared" si="17"/>
        <v>1</v>
      </c>
      <c r="P64" s="3430"/>
      <c r="Q64" s="3156">
        <f t="shared" si="18"/>
        <v>1</v>
      </c>
      <c r="R64" s="3921">
        <f t="shared" si="19"/>
        <v>0</v>
      </c>
      <c r="S64" s="4017">
        <f t="shared" si="21"/>
        <v>0</v>
      </c>
    </row>
    <row r="65" spans="1:19">
      <c r="A65" s="3157"/>
      <c r="B65" s="3428"/>
      <c r="C65" s="3156">
        <f t="shared" si="11"/>
        <v>1</v>
      </c>
      <c r="D65" s="3430"/>
      <c r="E65" s="3156">
        <f t="shared" si="12"/>
        <v>0</v>
      </c>
      <c r="F65" s="3430"/>
      <c r="G65" s="3156">
        <f t="shared" si="13"/>
        <v>1</v>
      </c>
      <c r="H65" s="3430"/>
      <c r="I65" s="3156">
        <f t="shared" si="14"/>
        <v>1</v>
      </c>
      <c r="J65" s="3430"/>
      <c r="K65" s="3156">
        <f t="shared" si="15"/>
        <v>1</v>
      </c>
      <c r="L65" s="3430"/>
      <c r="M65" s="3156">
        <f t="shared" si="16"/>
        <v>1</v>
      </c>
      <c r="N65" s="3430"/>
      <c r="O65" s="3156">
        <f t="shared" si="17"/>
        <v>1</v>
      </c>
      <c r="P65" s="3430"/>
      <c r="Q65" s="3156">
        <f t="shared" si="18"/>
        <v>1</v>
      </c>
      <c r="R65" s="3921">
        <f t="shared" si="19"/>
        <v>0</v>
      </c>
      <c r="S65" s="4017">
        <f t="shared" si="21"/>
        <v>0</v>
      </c>
    </row>
    <row r="66" spans="1:19">
      <c r="A66" s="3157"/>
      <c r="B66" s="3428"/>
      <c r="C66" s="3156">
        <f t="shared" si="11"/>
        <v>1</v>
      </c>
      <c r="D66" s="3430"/>
      <c r="E66" s="3156">
        <f t="shared" si="12"/>
        <v>0</v>
      </c>
      <c r="F66" s="3430"/>
      <c r="G66" s="3156">
        <f t="shared" si="13"/>
        <v>1</v>
      </c>
      <c r="H66" s="3430"/>
      <c r="I66" s="3156">
        <f t="shared" si="14"/>
        <v>1</v>
      </c>
      <c r="J66" s="3430"/>
      <c r="K66" s="3156">
        <f t="shared" si="15"/>
        <v>1</v>
      </c>
      <c r="L66" s="3430"/>
      <c r="M66" s="3156">
        <f t="shared" si="16"/>
        <v>1</v>
      </c>
      <c r="N66" s="3430"/>
      <c r="O66" s="3156">
        <f t="shared" si="17"/>
        <v>1</v>
      </c>
      <c r="P66" s="3430"/>
      <c r="Q66" s="3156">
        <f t="shared" si="18"/>
        <v>1</v>
      </c>
      <c r="R66" s="3921">
        <f t="shared" si="19"/>
        <v>0</v>
      </c>
      <c r="S66" s="4017">
        <f t="shared" si="21"/>
        <v>0</v>
      </c>
    </row>
    <row r="67" spans="1:19">
      <c r="A67" s="3157"/>
      <c r="B67" s="3428"/>
      <c r="C67" s="3156">
        <f t="shared" si="11"/>
        <v>1</v>
      </c>
      <c r="D67" s="3430"/>
      <c r="E67" s="3156">
        <f t="shared" si="12"/>
        <v>0</v>
      </c>
      <c r="F67" s="3430"/>
      <c r="G67" s="3156">
        <f t="shared" si="13"/>
        <v>1</v>
      </c>
      <c r="H67" s="3430"/>
      <c r="I67" s="3156">
        <f t="shared" si="14"/>
        <v>1</v>
      </c>
      <c r="J67" s="3430"/>
      <c r="K67" s="3156">
        <f t="shared" si="15"/>
        <v>1</v>
      </c>
      <c r="L67" s="3430"/>
      <c r="M67" s="3156">
        <f t="shared" si="16"/>
        <v>1</v>
      </c>
      <c r="N67" s="3430"/>
      <c r="O67" s="3156">
        <f t="shared" si="17"/>
        <v>1</v>
      </c>
      <c r="P67" s="3430"/>
      <c r="Q67" s="3156">
        <f t="shared" si="18"/>
        <v>1</v>
      </c>
      <c r="R67" s="3921">
        <f t="shared" si="19"/>
        <v>0</v>
      </c>
      <c r="S67" s="4017">
        <f t="shared" si="21"/>
        <v>0</v>
      </c>
    </row>
    <row r="68" spans="1:19">
      <c r="A68" s="3157"/>
      <c r="B68" s="3428"/>
      <c r="C68" s="3156">
        <f t="shared" si="11"/>
        <v>1</v>
      </c>
      <c r="D68" s="3430"/>
      <c r="E68" s="3156">
        <f t="shared" si="12"/>
        <v>0</v>
      </c>
      <c r="F68" s="3430"/>
      <c r="G68" s="3156">
        <f t="shared" si="13"/>
        <v>1</v>
      </c>
      <c r="H68" s="3430"/>
      <c r="I68" s="3156">
        <f t="shared" si="14"/>
        <v>1</v>
      </c>
      <c r="J68" s="3430"/>
      <c r="K68" s="3156">
        <f t="shared" si="15"/>
        <v>1</v>
      </c>
      <c r="L68" s="3430"/>
      <c r="M68" s="3156">
        <f t="shared" si="16"/>
        <v>1</v>
      </c>
      <c r="N68" s="3430"/>
      <c r="O68" s="3156">
        <f t="shared" si="17"/>
        <v>1</v>
      </c>
      <c r="P68" s="3430"/>
      <c r="Q68" s="3156">
        <f t="shared" si="18"/>
        <v>1</v>
      </c>
      <c r="R68" s="3921">
        <f t="shared" si="19"/>
        <v>0</v>
      </c>
      <c r="S68" s="4017">
        <f t="shared" si="21"/>
        <v>0</v>
      </c>
    </row>
    <row r="69" spans="1:19">
      <c r="A69" s="3157"/>
      <c r="B69" s="3428"/>
      <c r="C69" s="3156">
        <f t="shared" si="11"/>
        <v>1</v>
      </c>
      <c r="D69" s="3430"/>
      <c r="E69" s="3156">
        <f t="shared" si="12"/>
        <v>0</v>
      </c>
      <c r="F69" s="3430"/>
      <c r="G69" s="3156">
        <f t="shared" si="13"/>
        <v>1</v>
      </c>
      <c r="H69" s="3430"/>
      <c r="I69" s="3156">
        <f t="shared" si="14"/>
        <v>1</v>
      </c>
      <c r="J69" s="3430"/>
      <c r="K69" s="3156">
        <f t="shared" si="15"/>
        <v>1</v>
      </c>
      <c r="L69" s="3430"/>
      <c r="M69" s="3156">
        <f t="shared" si="16"/>
        <v>1</v>
      </c>
      <c r="N69" s="3430"/>
      <c r="O69" s="3156">
        <f t="shared" si="17"/>
        <v>1</v>
      </c>
      <c r="P69" s="3430"/>
      <c r="Q69" s="3156">
        <f t="shared" si="18"/>
        <v>1</v>
      </c>
      <c r="R69" s="3921">
        <f t="shared" si="19"/>
        <v>0</v>
      </c>
      <c r="S69" s="4017">
        <f t="shared" si="21"/>
        <v>0</v>
      </c>
    </row>
    <row r="70" spans="1:19">
      <c r="A70" s="3157"/>
      <c r="B70" s="3428"/>
      <c r="C70" s="3156">
        <f t="shared" si="11"/>
        <v>1</v>
      </c>
      <c r="D70" s="3430"/>
      <c r="E70" s="3156">
        <f t="shared" si="12"/>
        <v>0</v>
      </c>
      <c r="F70" s="3430"/>
      <c r="G70" s="3156">
        <f t="shared" si="13"/>
        <v>1</v>
      </c>
      <c r="H70" s="3430"/>
      <c r="I70" s="3156">
        <f t="shared" si="14"/>
        <v>1</v>
      </c>
      <c r="J70" s="3430"/>
      <c r="K70" s="3156">
        <f t="shared" si="15"/>
        <v>1</v>
      </c>
      <c r="L70" s="3430"/>
      <c r="M70" s="3156">
        <f t="shared" si="16"/>
        <v>1</v>
      </c>
      <c r="N70" s="3430"/>
      <c r="O70" s="3156">
        <f t="shared" si="17"/>
        <v>1</v>
      </c>
      <c r="P70" s="3430"/>
      <c r="Q70" s="3156">
        <f t="shared" si="18"/>
        <v>1</v>
      </c>
      <c r="R70" s="3921">
        <f t="shared" si="19"/>
        <v>0</v>
      </c>
      <c r="S70" s="4017">
        <f t="shared" si="21"/>
        <v>0</v>
      </c>
    </row>
    <row r="71" spans="1:19">
      <c r="A71" s="3157"/>
      <c r="B71" s="3428"/>
      <c r="C71" s="3156">
        <f t="shared" si="11"/>
        <v>1</v>
      </c>
      <c r="D71" s="3430"/>
      <c r="E71" s="3156">
        <f t="shared" si="12"/>
        <v>0</v>
      </c>
      <c r="F71" s="3430"/>
      <c r="G71" s="3156">
        <f t="shared" si="13"/>
        <v>1</v>
      </c>
      <c r="H71" s="3430"/>
      <c r="I71" s="3156">
        <f t="shared" si="14"/>
        <v>1</v>
      </c>
      <c r="J71" s="3430"/>
      <c r="K71" s="3156">
        <f t="shared" si="15"/>
        <v>1</v>
      </c>
      <c r="L71" s="3430"/>
      <c r="M71" s="3156">
        <f t="shared" si="16"/>
        <v>1</v>
      </c>
      <c r="N71" s="3430"/>
      <c r="O71" s="3156">
        <f t="shared" si="17"/>
        <v>1</v>
      </c>
      <c r="P71" s="3430"/>
      <c r="Q71" s="3156">
        <f t="shared" si="18"/>
        <v>1</v>
      </c>
      <c r="R71" s="3921">
        <f t="shared" si="19"/>
        <v>0</v>
      </c>
      <c r="S71" s="4017">
        <f t="shared" si="21"/>
        <v>0</v>
      </c>
    </row>
    <row r="72" spans="1:19">
      <c r="A72" s="3157"/>
      <c r="B72" s="3428"/>
      <c r="C72" s="3156">
        <f t="shared" si="11"/>
        <v>1</v>
      </c>
      <c r="D72" s="3430"/>
      <c r="E72" s="3156">
        <f t="shared" si="12"/>
        <v>0</v>
      </c>
      <c r="F72" s="3430"/>
      <c r="G72" s="3156">
        <f t="shared" si="13"/>
        <v>1</v>
      </c>
      <c r="H72" s="3430"/>
      <c r="I72" s="3156">
        <f t="shared" si="14"/>
        <v>1</v>
      </c>
      <c r="J72" s="3430"/>
      <c r="K72" s="3156">
        <f t="shared" si="15"/>
        <v>1</v>
      </c>
      <c r="L72" s="3430"/>
      <c r="M72" s="3156">
        <f t="shared" si="16"/>
        <v>1</v>
      </c>
      <c r="N72" s="3430"/>
      <c r="O72" s="3156">
        <f t="shared" si="17"/>
        <v>1</v>
      </c>
      <c r="P72" s="3430"/>
      <c r="Q72" s="3156">
        <f t="shared" si="18"/>
        <v>1</v>
      </c>
      <c r="R72" s="3921">
        <f t="shared" si="19"/>
        <v>0</v>
      </c>
      <c r="S72" s="4017">
        <f t="shared" si="21"/>
        <v>0</v>
      </c>
    </row>
    <row r="73" spans="1:19">
      <c r="A73" s="3157"/>
      <c r="B73" s="3428"/>
      <c r="C73" s="3156">
        <f t="shared" si="11"/>
        <v>1</v>
      </c>
      <c r="D73" s="3430"/>
      <c r="E73" s="3156">
        <f t="shared" si="12"/>
        <v>0</v>
      </c>
      <c r="F73" s="3430"/>
      <c r="G73" s="3156">
        <f t="shared" si="13"/>
        <v>1</v>
      </c>
      <c r="H73" s="3430"/>
      <c r="I73" s="3156">
        <f t="shared" si="14"/>
        <v>1</v>
      </c>
      <c r="J73" s="3430"/>
      <c r="K73" s="3156">
        <f t="shared" si="15"/>
        <v>1</v>
      </c>
      <c r="L73" s="3430"/>
      <c r="M73" s="3156">
        <f t="shared" si="16"/>
        <v>1</v>
      </c>
      <c r="N73" s="3430"/>
      <c r="O73" s="3156">
        <f t="shared" si="17"/>
        <v>1</v>
      </c>
      <c r="P73" s="3430"/>
      <c r="Q73" s="3156">
        <f t="shared" si="18"/>
        <v>1</v>
      </c>
      <c r="R73" s="3921">
        <f t="shared" si="19"/>
        <v>0</v>
      </c>
      <c r="S73" s="4017">
        <f t="shared" si="21"/>
        <v>0</v>
      </c>
    </row>
    <row r="74" spans="1:19">
      <c r="A74" s="3157"/>
      <c r="B74" s="3428"/>
      <c r="C74" s="3156">
        <f t="shared" si="11"/>
        <v>1</v>
      </c>
      <c r="D74" s="3430"/>
      <c r="E74" s="3156">
        <f t="shared" si="12"/>
        <v>0</v>
      </c>
      <c r="F74" s="3430"/>
      <c r="G74" s="3156">
        <f t="shared" si="13"/>
        <v>1</v>
      </c>
      <c r="H74" s="3430"/>
      <c r="I74" s="3156">
        <f t="shared" si="14"/>
        <v>1</v>
      </c>
      <c r="J74" s="3430"/>
      <c r="K74" s="3156">
        <f t="shared" si="15"/>
        <v>1</v>
      </c>
      <c r="L74" s="3430"/>
      <c r="M74" s="3156">
        <f t="shared" si="16"/>
        <v>1</v>
      </c>
      <c r="N74" s="3430"/>
      <c r="O74" s="3156">
        <f t="shared" si="17"/>
        <v>1</v>
      </c>
      <c r="P74" s="3430"/>
      <c r="Q74" s="3156">
        <f t="shared" si="18"/>
        <v>1</v>
      </c>
      <c r="R74" s="3921">
        <f t="shared" si="19"/>
        <v>0</v>
      </c>
      <c r="S74" s="4017">
        <f t="shared" si="21"/>
        <v>0</v>
      </c>
    </row>
    <row r="75" spans="1:19">
      <c r="A75" s="3157"/>
      <c r="B75" s="3428"/>
      <c r="C75" s="3156">
        <f t="shared" si="11"/>
        <v>1</v>
      </c>
      <c r="D75" s="3430"/>
      <c r="E75" s="3156">
        <f t="shared" si="12"/>
        <v>0</v>
      </c>
      <c r="F75" s="3430"/>
      <c r="G75" s="3156">
        <f t="shared" si="13"/>
        <v>1</v>
      </c>
      <c r="H75" s="3430"/>
      <c r="I75" s="3156">
        <f t="shared" si="14"/>
        <v>1</v>
      </c>
      <c r="J75" s="3430"/>
      <c r="K75" s="3156">
        <f t="shared" si="15"/>
        <v>1</v>
      </c>
      <c r="L75" s="3430"/>
      <c r="M75" s="3156">
        <f t="shared" si="16"/>
        <v>1</v>
      </c>
      <c r="N75" s="3430"/>
      <c r="O75" s="3156">
        <f t="shared" si="17"/>
        <v>1</v>
      </c>
      <c r="P75" s="3430"/>
      <c r="Q75" s="3156">
        <f t="shared" si="18"/>
        <v>1</v>
      </c>
      <c r="R75" s="3921">
        <f t="shared" si="19"/>
        <v>0</v>
      </c>
      <c r="S75" s="4017">
        <f t="shared" si="21"/>
        <v>0</v>
      </c>
    </row>
    <row r="76" spans="1:19">
      <c r="A76" s="3157"/>
      <c r="B76" s="3428"/>
      <c r="C76" s="3156">
        <f t="shared" si="11"/>
        <v>1</v>
      </c>
      <c r="D76" s="3430"/>
      <c r="E76" s="3156">
        <f t="shared" si="12"/>
        <v>0</v>
      </c>
      <c r="F76" s="3430"/>
      <c r="G76" s="3156">
        <f t="shared" si="13"/>
        <v>1</v>
      </c>
      <c r="H76" s="3430"/>
      <c r="I76" s="3156">
        <f t="shared" si="14"/>
        <v>1</v>
      </c>
      <c r="J76" s="3430"/>
      <c r="K76" s="3156">
        <f t="shared" si="15"/>
        <v>1</v>
      </c>
      <c r="L76" s="3430"/>
      <c r="M76" s="3156">
        <f t="shared" si="16"/>
        <v>1</v>
      </c>
      <c r="N76" s="3430"/>
      <c r="O76" s="3156">
        <f t="shared" si="17"/>
        <v>1</v>
      </c>
      <c r="P76" s="3430"/>
      <c r="Q76" s="3156">
        <f t="shared" si="18"/>
        <v>1</v>
      </c>
      <c r="R76" s="3921">
        <f t="shared" si="19"/>
        <v>0</v>
      </c>
      <c r="S76" s="4017">
        <f t="shared" si="21"/>
        <v>0</v>
      </c>
    </row>
    <row r="77" spans="1:19">
      <c r="A77" s="3157"/>
      <c r="B77" s="3428"/>
      <c r="C77" s="3156">
        <f t="shared" si="11"/>
        <v>1</v>
      </c>
      <c r="D77" s="3430"/>
      <c r="E77" s="3156">
        <f t="shared" si="12"/>
        <v>0</v>
      </c>
      <c r="F77" s="3430"/>
      <c r="G77" s="3156">
        <f t="shared" si="13"/>
        <v>1</v>
      </c>
      <c r="H77" s="3430"/>
      <c r="I77" s="3156">
        <f t="shared" si="14"/>
        <v>1</v>
      </c>
      <c r="J77" s="3430"/>
      <c r="K77" s="3156">
        <f t="shared" si="15"/>
        <v>1</v>
      </c>
      <c r="L77" s="3430"/>
      <c r="M77" s="3156">
        <f t="shared" si="16"/>
        <v>1</v>
      </c>
      <c r="N77" s="3430"/>
      <c r="O77" s="3156">
        <f t="shared" si="17"/>
        <v>1</v>
      </c>
      <c r="P77" s="3430"/>
      <c r="Q77" s="3156">
        <f t="shared" si="18"/>
        <v>1</v>
      </c>
      <c r="R77" s="3921">
        <f t="shared" si="19"/>
        <v>0</v>
      </c>
      <c r="S77" s="4017">
        <f t="shared" si="21"/>
        <v>0</v>
      </c>
    </row>
    <row r="78" spans="1:19">
      <c r="A78" s="3157"/>
      <c r="B78" s="3428"/>
      <c r="C78" s="3156">
        <f t="shared" si="11"/>
        <v>1</v>
      </c>
      <c r="D78" s="3430"/>
      <c r="E78" s="3156">
        <f t="shared" si="12"/>
        <v>0</v>
      </c>
      <c r="F78" s="3430"/>
      <c r="G78" s="3156">
        <f t="shared" si="13"/>
        <v>1</v>
      </c>
      <c r="H78" s="3430"/>
      <c r="I78" s="3156">
        <f t="shared" si="14"/>
        <v>1</v>
      </c>
      <c r="J78" s="3430"/>
      <c r="K78" s="3156">
        <f t="shared" si="15"/>
        <v>1</v>
      </c>
      <c r="L78" s="3430"/>
      <c r="M78" s="3156">
        <f t="shared" si="16"/>
        <v>1</v>
      </c>
      <c r="N78" s="3430"/>
      <c r="O78" s="3156">
        <f t="shared" si="17"/>
        <v>1</v>
      </c>
      <c r="P78" s="3430"/>
      <c r="Q78" s="3156">
        <f t="shared" si="18"/>
        <v>1</v>
      </c>
      <c r="R78" s="3921">
        <f t="shared" si="19"/>
        <v>0</v>
      </c>
      <c r="S78" s="4017">
        <f t="shared" ref="S78:S122" si="22">ROUND(R78*B78/10000,0)</f>
        <v>0</v>
      </c>
    </row>
    <row r="79" spans="1:19">
      <c r="A79" s="3157"/>
      <c r="B79" s="3428"/>
      <c r="C79" s="3156">
        <f t="shared" si="11"/>
        <v>1</v>
      </c>
      <c r="D79" s="3430"/>
      <c r="E79" s="3156">
        <f t="shared" si="12"/>
        <v>0</v>
      </c>
      <c r="F79" s="3430"/>
      <c r="G79" s="3156">
        <f t="shared" si="13"/>
        <v>1</v>
      </c>
      <c r="H79" s="3430"/>
      <c r="I79" s="3156">
        <f t="shared" si="14"/>
        <v>1</v>
      </c>
      <c r="J79" s="3430"/>
      <c r="K79" s="3156">
        <f t="shared" si="15"/>
        <v>1</v>
      </c>
      <c r="L79" s="3430"/>
      <c r="M79" s="3156">
        <f t="shared" si="16"/>
        <v>1</v>
      </c>
      <c r="N79" s="3430"/>
      <c r="O79" s="3156">
        <f t="shared" si="17"/>
        <v>1</v>
      </c>
      <c r="P79" s="3430"/>
      <c r="Q79" s="3156">
        <f t="shared" si="18"/>
        <v>1</v>
      </c>
      <c r="R79" s="3921">
        <f t="shared" si="19"/>
        <v>0</v>
      </c>
      <c r="S79" s="4017">
        <f t="shared" si="22"/>
        <v>0</v>
      </c>
    </row>
    <row r="80" spans="1:19">
      <c r="A80" s="3157"/>
      <c r="B80" s="3428"/>
      <c r="C80" s="3156">
        <f t="shared" si="11"/>
        <v>1</v>
      </c>
      <c r="D80" s="3430"/>
      <c r="E80" s="3156">
        <f t="shared" si="12"/>
        <v>0</v>
      </c>
      <c r="F80" s="3430"/>
      <c r="G80" s="3156">
        <f t="shared" si="13"/>
        <v>1</v>
      </c>
      <c r="H80" s="3430"/>
      <c r="I80" s="3156">
        <f t="shared" si="14"/>
        <v>1</v>
      </c>
      <c r="J80" s="3430"/>
      <c r="K80" s="3156">
        <f t="shared" si="15"/>
        <v>1</v>
      </c>
      <c r="L80" s="3430"/>
      <c r="M80" s="3156">
        <f t="shared" si="16"/>
        <v>1</v>
      </c>
      <c r="N80" s="3430"/>
      <c r="O80" s="3156">
        <f t="shared" si="17"/>
        <v>1</v>
      </c>
      <c r="P80" s="3430"/>
      <c r="Q80" s="3156">
        <f t="shared" si="18"/>
        <v>1</v>
      </c>
      <c r="R80" s="3921">
        <f t="shared" si="19"/>
        <v>0</v>
      </c>
      <c r="S80" s="4017">
        <f t="shared" si="22"/>
        <v>0</v>
      </c>
    </row>
    <row r="81" spans="1:19">
      <c r="A81" s="3157"/>
      <c r="B81" s="3428"/>
      <c r="C81" s="3156">
        <f t="shared" si="11"/>
        <v>1</v>
      </c>
      <c r="D81" s="3430"/>
      <c r="E81" s="3156">
        <f t="shared" si="12"/>
        <v>0</v>
      </c>
      <c r="F81" s="3430"/>
      <c r="G81" s="3156">
        <f t="shared" si="13"/>
        <v>1</v>
      </c>
      <c r="H81" s="3430"/>
      <c r="I81" s="3156">
        <f t="shared" si="14"/>
        <v>1</v>
      </c>
      <c r="J81" s="3430"/>
      <c r="K81" s="3156">
        <f t="shared" si="15"/>
        <v>1</v>
      </c>
      <c r="L81" s="3430"/>
      <c r="M81" s="3156">
        <f t="shared" si="16"/>
        <v>1</v>
      </c>
      <c r="N81" s="3430"/>
      <c r="O81" s="3156">
        <f t="shared" si="17"/>
        <v>1</v>
      </c>
      <c r="P81" s="3430"/>
      <c r="Q81" s="3156">
        <f t="shared" si="18"/>
        <v>1</v>
      </c>
      <c r="R81" s="3921">
        <f t="shared" si="19"/>
        <v>0</v>
      </c>
      <c r="S81" s="4017">
        <f t="shared" si="22"/>
        <v>0</v>
      </c>
    </row>
    <row r="82" spans="1:19">
      <c r="A82" s="3157"/>
      <c r="B82" s="3428"/>
      <c r="C82" s="3156">
        <f t="shared" si="11"/>
        <v>1</v>
      </c>
      <c r="D82" s="3430"/>
      <c r="E82" s="3156">
        <f t="shared" si="12"/>
        <v>0</v>
      </c>
      <c r="F82" s="3430"/>
      <c r="G82" s="3156">
        <f t="shared" si="13"/>
        <v>1</v>
      </c>
      <c r="H82" s="3430"/>
      <c r="I82" s="3156">
        <f t="shared" si="14"/>
        <v>1</v>
      </c>
      <c r="J82" s="3430"/>
      <c r="K82" s="3156">
        <f t="shared" si="15"/>
        <v>1</v>
      </c>
      <c r="L82" s="3430"/>
      <c r="M82" s="3156">
        <f t="shared" si="16"/>
        <v>1</v>
      </c>
      <c r="N82" s="3430"/>
      <c r="O82" s="3156">
        <f t="shared" si="17"/>
        <v>1</v>
      </c>
      <c r="P82" s="3430"/>
      <c r="Q82" s="3156">
        <f t="shared" si="18"/>
        <v>1</v>
      </c>
      <c r="R82" s="3921">
        <f t="shared" si="19"/>
        <v>0</v>
      </c>
      <c r="S82" s="4017">
        <f t="shared" si="22"/>
        <v>0</v>
      </c>
    </row>
    <row r="83" spans="1:19">
      <c r="A83" s="3157"/>
      <c r="B83" s="3428"/>
      <c r="C83" s="3156">
        <f t="shared" si="11"/>
        <v>1</v>
      </c>
      <c r="D83" s="3430"/>
      <c r="E83" s="3156">
        <f t="shared" si="12"/>
        <v>0</v>
      </c>
      <c r="F83" s="3430"/>
      <c r="G83" s="3156">
        <f t="shared" si="13"/>
        <v>1</v>
      </c>
      <c r="H83" s="3430"/>
      <c r="I83" s="3156">
        <f t="shared" si="14"/>
        <v>1</v>
      </c>
      <c r="J83" s="3430"/>
      <c r="K83" s="3156">
        <f t="shared" si="15"/>
        <v>1</v>
      </c>
      <c r="L83" s="3430"/>
      <c r="M83" s="3156">
        <f t="shared" si="16"/>
        <v>1</v>
      </c>
      <c r="N83" s="3430"/>
      <c r="O83" s="3156">
        <f t="shared" si="17"/>
        <v>1</v>
      </c>
      <c r="P83" s="3430"/>
      <c r="Q83" s="3156">
        <f t="shared" si="18"/>
        <v>1</v>
      </c>
      <c r="R83" s="3921">
        <f t="shared" si="19"/>
        <v>0</v>
      </c>
      <c r="S83" s="4017">
        <f t="shared" si="22"/>
        <v>0</v>
      </c>
    </row>
    <row r="84" spans="1:19">
      <c r="A84" s="3157"/>
      <c r="B84" s="3428"/>
      <c r="C84" s="3156">
        <f t="shared" si="11"/>
        <v>1</v>
      </c>
      <c r="D84" s="3430"/>
      <c r="E84" s="3156">
        <f t="shared" si="12"/>
        <v>0</v>
      </c>
      <c r="F84" s="3430"/>
      <c r="G84" s="3156">
        <f t="shared" si="13"/>
        <v>1</v>
      </c>
      <c r="H84" s="3430"/>
      <c r="I84" s="3156">
        <f t="shared" si="14"/>
        <v>1</v>
      </c>
      <c r="J84" s="3430"/>
      <c r="K84" s="3156">
        <f t="shared" si="15"/>
        <v>1</v>
      </c>
      <c r="L84" s="3430"/>
      <c r="M84" s="3156">
        <f t="shared" si="16"/>
        <v>1</v>
      </c>
      <c r="N84" s="3430"/>
      <c r="O84" s="3156">
        <f t="shared" si="17"/>
        <v>1</v>
      </c>
      <c r="P84" s="3430"/>
      <c r="Q84" s="3156">
        <f t="shared" si="18"/>
        <v>1</v>
      </c>
      <c r="R84" s="3921">
        <f t="shared" si="19"/>
        <v>0</v>
      </c>
      <c r="S84" s="4017">
        <f t="shared" si="22"/>
        <v>0</v>
      </c>
    </row>
    <row r="85" spans="1:19">
      <c r="A85" s="3157"/>
      <c r="B85" s="3428"/>
      <c r="C85" s="3156">
        <f t="shared" si="11"/>
        <v>1</v>
      </c>
      <c r="D85" s="3430"/>
      <c r="E85" s="3156">
        <f t="shared" si="12"/>
        <v>0</v>
      </c>
      <c r="F85" s="3430"/>
      <c r="G85" s="3156">
        <f t="shared" si="13"/>
        <v>1</v>
      </c>
      <c r="H85" s="3430"/>
      <c r="I85" s="3156">
        <f t="shared" si="14"/>
        <v>1</v>
      </c>
      <c r="J85" s="3430"/>
      <c r="K85" s="3156">
        <f t="shared" si="15"/>
        <v>1</v>
      </c>
      <c r="L85" s="3430"/>
      <c r="M85" s="3156">
        <f t="shared" si="16"/>
        <v>1</v>
      </c>
      <c r="N85" s="3430"/>
      <c r="O85" s="3156">
        <f t="shared" si="17"/>
        <v>1</v>
      </c>
      <c r="P85" s="3430"/>
      <c r="Q85" s="3156">
        <f t="shared" si="18"/>
        <v>1</v>
      </c>
      <c r="R85" s="3921">
        <f t="shared" si="19"/>
        <v>0</v>
      </c>
      <c r="S85" s="4017">
        <f t="shared" si="22"/>
        <v>0</v>
      </c>
    </row>
    <row r="86" spans="1:19">
      <c r="A86" s="3157"/>
      <c r="B86" s="3428"/>
      <c r="C86" s="3156">
        <f t="shared" si="11"/>
        <v>1</v>
      </c>
      <c r="D86" s="3430"/>
      <c r="E86" s="3156">
        <f t="shared" si="12"/>
        <v>0</v>
      </c>
      <c r="F86" s="3430"/>
      <c r="G86" s="3156">
        <f t="shared" si="13"/>
        <v>1</v>
      </c>
      <c r="H86" s="3430"/>
      <c r="I86" s="3156">
        <f t="shared" si="14"/>
        <v>1</v>
      </c>
      <c r="J86" s="3430"/>
      <c r="K86" s="3156">
        <f t="shared" si="15"/>
        <v>1</v>
      </c>
      <c r="L86" s="3430"/>
      <c r="M86" s="3156">
        <f t="shared" si="16"/>
        <v>1</v>
      </c>
      <c r="N86" s="3430"/>
      <c r="O86" s="3156">
        <f t="shared" si="17"/>
        <v>1</v>
      </c>
      <c r="P86" s="3430"/>
      <c r="Q86" s="3156">
        <f t="shared" si="18"/>
        <v>1</v>
      </c>
      <c r="R86" s="3921">
        <f t="shared" si="19"/>
        <v>0</v>
      </c>
      <c r="S86" s="4017">
        <f t="shared" si="22"/>
        <v>0</v>
      </c>
    </row>
    <row r="87" spans="1:19">
      <c r="A87" s="3157"/>
      <c r="B87" s="3428"/>
      <c r="C87" s="3156">
        <f t="shared" si="11"/>
        <v>1</v>
      </c>
      <c r="D87" s="3430"/>
      <c r="E87" s="3156">
        <f t="shared" si="12"/>
        <v>0</v>
      </c>
      <c r="F87" s="3430"/>
      <c r="G87" s="3156">
        <f t="shared" si="13"/>
        <v>1</v>
      </c>
      <c r="H87" s="3430"/>
      <c r="I87" s="3156">
        <f t="shared" si="14"/>
        <v>1</v>
      </c>
      <c r="J87" s="3430"/>
      <c r="K87" s="3156">
        <f t="shared" si="15"/>
        <v>1</v>
      </c>
      <c r="L87" s="3430"/>
      <c r="M87" s="3156">
        <f t="shared" si="16"/>
        <v>1</v>
      </c>
      <c r="N87" s="3430"/>
      <c r="O87" s="3156">
        <f t="shared" si="17"/>
        <v>1</v>
      </c>
      <c r="P87" s="3430"/>
      <c r="Q87" s="3156">
        <f t="shared" si="18"/>
        <v>1</v>
      </c>
      <c r="R87" s="3921">
        <f t="shared" si="19"/>
        <v>0</v>
      </c>
      <c r="S87" s="4017">
        <f t="shared" si="22"/>
        <v>0</v>
      </c>
    </row>
    <row r="88" spans="1:19">
      <c r="A88" s="3157"/>
      <c r="B88" s="3428"/>
      <c r="C88" s="3156">
        <f t="shared" si="11"/>
        <v>1</v>
      </c>
      <c r="D88" s="3430"/>
      <c r="E88" s="3156">
        <f t="shared" si="12"/>
        <v>0</v>
      </c>
      <c r="F88" s="3430"/>
      <c r="G88" s="3156">
        <f t="shared" si="13"/>
        <v>1</v>
      </c>
      <c r="H88" s="3430"/>
      <c r="I88" s="3156">
        <f t="shared" si="14"/>
        <v>1</v>
      </c>
      <c r="J88" s="3430"/>
      <c r="K88" s="3156">
        <f t="shared" si="15"/>
        <v>1</v>
      </c>
      <c r="L88" s="3430"/>
      <c r="M88" s="3156">
        <f t="shared" si="16"/>
        <v>1</v>
      </c>
      <c r="N88" s="3430"/>
      <c r="O88" s="3156">
        <f t="shared" si="17"/>
        <v>1</v>
      </c>
      <c r="P88" s="3430"/>
      <c r="Q88" s="3156">
        <f t="shared" si="18"/>
        <v>1</v>
      </c>
      <c r="R88" s="3921">
        <f t="shared" si="19"/>
        <v>0</v>
      </c>
      <c r="S88" s="4017">
        <f t="shared" si="22"/>
        <v>0</v>
      </c>
    </row>
    <row r="89" spans="1:19">
      <c r="A89" s="3157"/>
      <c r="B89" s="3428"/>
      <c r="C89" s="3156">
        <f t="shared" si="11"/>
        <v>1</v>
      </c>
      <c r="D89" s="3430"/>
      <c r="E89" s="3156">
        <f t="shared" si="12"/>
        <v>0</v>
      </c>
      <c r="F89" s="3430"/>
      <c r="G89" s="3156">
        <f t="shared" si="13"/>
        <v>1</v>
      </c>
      <c r="H89" s="3430"/>
      <c r="I89" s="3156">
        <f t="shared" si="14"/>
        <v>1</v>
      </c>
      <c r="J89" s="3430"/>
      <c r="K89" s="3156">
        <f t="shared" si="15"/>
        <v>1</v>
      </c>
      <c r="L89" s="3430"/>
      <c r="M89" s="3156">
        <f t="shared" si="16"/>
        <v>1</v>
      </c>
      <c r="N89" s="3430"/>
      <c r="O89" s="3156">
        <f t="shared" si="17"/>
        <v>1</v>
      </c>
      <c r="P89" s="3430"/>
      <c r="Q89" s="3156">
        <f t="shared" si="18"/>
        <v>1</v>
      </c>
      <c r="R89" s="3921">
        <f t="shared" si="19"/>
        <v>0</v>
      </c>
      <c r="S89" s="4017">
        <f t="shared" si="22"/>
        <v>0</v>
      </c>
    </row>
    <row r="90" spans="1:19">
      <c r="A90" s="3157"/>
      <c r="B90" s="3428"/>
      <c r="C90" s="3156">
        <f t="shared" ref="C90:C153" si="23">IF(B90="",1,(LOOKUP(B90,$3:$3,$4:$4)-LOOKUP($B$24,$3:$3,$4:$4)+100)/100)</f>
        <v>1</v>
      </c>
      <c r="D90" s="3430"/>
      <c r="E90" s="3156">
        <f t="shared" ref="E90:E153" si="24">(SUMIF($5:$5,D90,$6:$6)-SUMIF($5:$5,$D$24,$6:$6)+100)/100</f>
        <v>0</v>
      </c>
      <c r="F90" s="3430"/>
      <c r="G90" s="3156">
        <f t="shared" ref="G90:G153" si="25">(SUMIF($7:$7,F90,$8:$8)-SUMIF($7:$7,$F$24,$8:$8)+100)/100</f>
        <v>1</v>
      </c>
      <c r="H90" s="3430"/>
      <c r="I90" s="3156">
        <f t="shared" ref="I90:I153" si="26">(SUMIF($9:$9,H90,$10:$10)-SUMIF($9:$9,$H$24,$10:$10)+100)/100</f>
        <v>1</v>
      </c>
      <c r="J90" s="3430"/>
      <c r="K90" s="3156">
        <f t="shared" ref="K90:K153" si="27">(SUMIF($11:$11,J90,$12:$12)-SUMIF($11:$11,$J$24,$12:$12)+100)/100</f>
        <v>1</v>
      </c>
      <c r="L90" s="3430"/>
      <c r="M90" s="3156">
        <f t="shared" ref="M90:M153" si="28">(SUMIF($13:$13,L90,$14:$14)-SUMIF($13:$13,$L$24,$14:$14)+100)/100</f>
        <v>1</v>
      </c>
      <c r="N90" s="3430"/>
      <c r="O90" s="3156">
        <f t="shared" ref="O90:O153" si="29">(SUMIF($15:$15,N90,$16:$16)-SUMIF($15:$15,$N$24,$16:$16)+100)/100</f>
        <v>1</v>
      </c>
      <c r="P90" s="3430"/>
      <c r="Q90" s="3156">
        <f t="shared" ref="Q90:Q153" si="30">(SUMIF($17:$17,P90,$18:$18)-SUMIF($17:$17,$P$24,$18:$18)+100)/100</f>
        <v>1</v>
      </c>
      <c r="R90" s="3921">
        <f t="shared" ref="R90:R153" si="31">IF(B90="",0,ROUND($R$24*C90*E90*G90*I90*K90*M90*O90*Q90,0))</f>
        <v>0</v>
      </c>
      <c r="S90" s="4017">
        <f t="shared" si="22"/>
        <v>0</v>
      </c>
    </row>
    <row r="91" spans="1:19">
      <c r="A91" s="3157"/>
      <c r="B91" s="3428"/>
      <c r="C91" s="3156">
        <f t="shared" si="23"/>
        <v>1</v>
      </c>
      <c r="D91" s="3430"/>
      <c r="E91" s="3156">
        <f t="shared" si="24"/>
        <v>0</v>
      </c>
      <c r="F91" s="3430"/>
      <c r="G91" s="3156">
        <f t="shared" si="25"/>
        <v>1</v>
      </c>
      <c r="H91" s="3430"/>
      <c r="I91" s="3156">
        <f t="shared" si="26"/>
        <v>1</v>
      </c>
      <c r="J91" s="3430"/>
      <c r="K91" s="3156">
        <f t="shared" si="27"/>
        <v>1</v>
      </c>
      <c r="L91" s="3430"/>
      <c r="M91" s="3156">
        <f t="shared" si="28"/>
        <v>1</v>
      </c>
      <c r="N91" s="3430"/>
      <c r="O91" s="3156">
        <f t="shared" si="29"/>
        <v>1</v>
      </c>
      <c r="P91" s="3430"/>
      <c r="Q91" s="3156">
        <f t="shared" si="30"/>
        <v>1</v>
      </c>
      <c r="R91" s="3921">
        <f t="shared" si="31"/>
        <v>0</v>
      </c>
      <c r="S91" s="4017">
        <f t="shared" si="22"/>
        <v>0</v>
      </c>
    </row>
    <row r="92" spans="1:19">
      <c r="A92" s="3157"/>
      <c r="B92" s="3428"/>
      <c r="C92" s="3156">
        <f t="shared" si="23"/>
        <v>1</v>
      </c>
      <c r="D92" s="3430"/>
      <c r="E92" s="3156">
        <f t="shared" si="24"/>
        <v>0</v>
      </c>
      <c r="F92" s="3430"/>
      <c r="G92" s="3156">
        <f t="shared" si="25"/>
        <v>1</v>
      </c>
      <c r="H92" s="3430"/>
      <c r="I92" s="3156">
        <f t="shared" si="26"/>
        <v>1</v>
      </c>
      <c r="J92" s="3430"/>
      <c r="K92" s="3156">
        <f t="shared" si="27"/>
        <v>1</v>
      </c>
      <c r="L92" s="3430"/>
      <c r="M92" s="3156">
        <f t="shared" si="28"/>
        <v>1</v>
      </c>
      <c r="N92" s="3430"/>
      <c r="O92" s="3156">
        <f t="shared" si="29"/>
        <v>1</v>
      </c>
      <c r="P92" s="3430"/>
      <c r="Q92" s="3156">
        <f t="shared" si="30"/>
        <v>1</v>
      </c>
      <c r="R92" s="3921">
        <f t="shared" si="31"/>
        <v>0</v>
      </c>
      <c r="S92" s="4017">
        <f t="shared" si="22"/>
        <v>0</v>
      </c>
    </row>
    <row r="93" spans="1:19">
      <c r="A93" s="3157"/>
      <c r="B93" s="3428"/>
      <c r="C93" s="3156">
        <f t="shared" si="23"/>
        <v>1</v>
      </c>
      <c r="D93" s="3430"/>
      <c r="E93" s="3156">
        <f t="shared" si="24"/>
        <v>0</v>
      </c>
      <c r="F93" s="3430"/>
      <c r="G93" s="3156">
        <f t="shared" si="25"/>
        <v>1</v>
      </c>
      <c r="H93" s="3430"/>
      <c r="I93" s="3156">
        <f t="shared" si="26"/>
        <v>1</v>
      </c>
      <c r="J93" s="3430"/>
      <c r="K93" s="3156">
        <f t="shared" si="27"/>
        <v>1</v>
      </c>
      <c r="L93" s="3430"/>
      <c r="M93" s="3156">
        <f t="shared" si="28"/>
        <v>1</v>
      </c>
      <c r="N93" s="3430"/>
      <c r="O93" s="3156">
        <f t="shared" si="29"/>
        <v>1</v>
      </c>
      <c r="P93" s="3430"/>
      <c r="Q93" s="3156">
        <f t="shared" si="30"/>
        <v>1</v>
      </c>
      <c r="R93" s="3921">
        <f t="shared" si="31"/>
        <v>0</v>
      </c>
      <c r="S93" s="4017">
        <f t="shared" si="22"/>
        <v>0</v>
      </c>
    </row>
    <row r="94" spans="1:19">
      <c r="A94" s="3157"/>
      <c r="B94" s="3428"/>
      <c r="C94" s="3156">
        <f t="shared" si="23"/>
        <v>1</v>
      </c>
      <c r="D94" s="3430"/>
      <c r="E94" s="3156">
        <f t="shared" si="24"/>
        <v>0</v>
      </c>
      <c r="F94" s="3430"/>
      <c r="G94" s="3156">
        <f t="shared" si="25"/>
        <v>1</v>
      </c>
      <c r="H94" s="3430"/>
      <c r="I94" s="3156">
        <f t="shared" si="26"/>
        <v>1</v>
      </c>
      <c r="J94" s="3430"/>
      <c r="K94" s="3156">
        <f t="shared" si="27"/>
        <v>1</v>
      </c>
      <c r="L94" s="3430"/>
      <c r="M94" s="3156">
        <f t="shared" si="28"/>
        <v>1</v>
      </c>
      <c r="N94" s="3430"/>
      <c r="O94" s="3156">
        <f t="shared" si="29"/>
        <v>1</v>
      </c>
      <c r="P94" s="3430"/>
      <c r="Q94" s="3156">
        <f t="shared" si="30"/>
        <v>1</v>
      </c>
      <c r="R94" s="3921">
        <f t="shared" si="31"/>
        <v>0</v>
      </c>
      <c r="S94" s="4017">
        <f t="shared" si="22"/>
        <v>0</v>
      </c>
    </row>
    <row r="95" spans="1:19">
      <c r="A95" s="3157"/>
      <c r="B95" s="3428"/>
      <c r="C95" s="3156">
        <f t="shared" si="23"/>
        <v>1</v>
      </c>
      <c r="D95" s="3430"/>
      <c r="E95" s="3156">
        <f t="shared" si="24"/>
        <v>0</v>
      </c>
      <c r="F95" s="3430"/>
      <c r="G95" s="3156">
        <f t="shared" si="25"/>
        <v>1</v>
      </c>
      <c r="H95" s="3430"/>
      <c r="I95" s="3156">
        <f t="shared" si="26"/>
        <v>1</v>
      </c>
      <c r="J95" s="3430"/>
      <c r="K95" s="3156">
        <f t="shared" si="27"/>
        <v>1</v>
      </c>
      <c r="L95" s="3430"/>
      <c r="M95" s="3156">
        <f t="shared" si="28"/>
        <v>1</v>
      </c>
      <c r="N95" s="3430"/>
      <c r="O95" s="3156">
        <f t="shared" si="29"/>
        <v>1</v>
      </c>
      <c r="P95" s="3430"/>
      <c r="Q95" s="3156">
        <f t="shared" si="30"/>
        <v>1</v>
      </c>
      <c r="R95" s="3921">
        <f t="shared" si="31"/>
        <v>0</v>
      </c>
      <c r="S95" s="4017">
        <f t="shared" si="22"/>
        <v>0</v>
      </c>
    </row>
    <row r="96" spans="1:19">
      <c r="A96" s="3157"/>
      <c r="B96" s="3428"/>
      <c r="C96" s="3156">
        <f t="shared" si="23"/>
        <v>1</v>
      </c>
      <c r="D96" s="3430"/>
      <c r="E96" s="3156">
        <f t="shared" si="24"/>
        <v>0</v>
      </c>
      <c r="F96" s="3430"/>
      <c r="G96" s="3156">
        <f t="shared" si="25"/>
        <v>1</v>
      </c>
      <c r="H96" s="3430"/>
      <c r="I96" s="3156">
        <f t="shared" si="26"/>
        <v>1</v>
      </c>
      <c r="J96" s="3430"/>
      <c r="K96" s="3156">
        <f t="shared" si="27"/>
        <v>1</v>
      </c>
      <c r="L96" s="3430"/>
      <c r="M96" s="3156">
        <f t="shared" si="28"/>
        <v>1</v>
      </c>
      <c r="N96" s="3430"/>
      <c r="O96" s="3156">
        <f t="shared" si="29"/>
        <v>1</v>
      </c>
      <c r="P96" s="3430"/>
      <c r="Q96" s="3156">
        <f t="shared" si="30"/>
        <v>1</v>
      </c>
      <c r="R96" s="3921">
        <f t="shared" si="31"/>
        <v>0</v>
      </c>
      <c r="S96" s="4017">
        <f t="shared" si="22"/>
        <v>0</v>
      </c>
    </row>
    <row r="97" spans="1:19">
      <c r="A97" s="3157"/>
      <c r="B97" s="3428"/>
      <c r="C97" s="3156">
        <f t="shared" si="23"/>
        <v>1</v>
      </c>
      <c r="D97" s="3430"/>
      <c r="E97" s="3156">
        <f t="shared" si="24"/>
        <v>0</v>
      </c>
      <c r="F97" s="3430"/>
      <c r="G97" s="3156">
        <f t="shared" si="25"/>
        <v>1</v>
      </c>
      <c r="H97" s="3430"/>
      <c r="I97" s="3156">
        <f t="shared" si="26"/>
        <v>1</v>
      </c>
      <c r="J97" s="3430"/>
      <c r="K97" s="3156">
        <f t="shared" si="27"/>
        <v>1</v>
      </c>
      <c r="L97" s="3430"/>
      <c r="M97" s="3156">
        <f t="shared" si="28"/>
        <v>1</v>
      </c>
      <c r="N97" s="3430"/>
      <c r="O97" s="3156">
        <f t="shared" si="29"/>
        <v>1</v>
      </c>
      <c r="P97" s="3430"/>
      <c r="Q97" s="3156">
        <f t="shared" si="30"/>
        <v>1</v>
      </c>
      <c r="R97" s="3921">
        <f t="shared" si="31"/>
        <v>0</v>
      </c>
      <c r="S97" s="4017">
        <f t="shared" si="22"/>
        <v>0</v>
      </c>
    </row>
    <row r="98" spans="1:19">
      <c r="A98" s="3157"/>
      <c r="B98" s="3428"/>
      <c r="C98" s="3156">
        <f t="shared" si="23"/>
        <v>1</v>
      </c>
      <c r="D98" s="3430"/>
      <c r="E98" s="3156">
        <f t="shared" si="24"/>
        <v>0</v>
      </c>
      <c r="F98" s="3430"/>
      <c r="G98" s="3156">
        <f t="shared" si="25"/>
        <v>1</v>
      </c>
      <c r="H98" s="3430"/>
      <c r="I98" s="3156">
        <f t="shared" si="26"/>
        <v>1</v>
      </c>
      <c r="J98" s="3430"/>
      <c r="K98" s="3156">
        <f t="shared" si="27"/>
        <v>1</v>
      </c>
      <c r="L98" s="3430"/>
      <c r="M98" s="3156">
        <f t="shared" si="28"/>
        <v>1</v>
      </c>
      <c r="N98" s="3430"/>
      <c r="O98" s="3156">
        <f t="shared" si="29"/>
        <v>1</v>
      </c>
      <c r="P98" s="3430"/>
      <c r="Q98" s="3156">
        <f t="shared" si="30"/>
        <v>1</v>
      </c>
      <c r="R98" s="3921">
        <f t="shared" si="31"/>
        <v>0</v>
      </c>
      <c r="S98" s="4017">
        <f t="shared" si="22"/>
        <v>0</v>
      </c>
    </row>
    <row r="99" spans="1:19">
      <c r="A99" s="3157"/>
      <c r="B99" s="3428"/>
      <c r="C99" s="3156">
        <f t="shared" si="23"/>
        <v>1</v>
      </c>
      <c r="D99" s="3430"/>
      <c r="E99" s="3156">
        <f t="shared" si="24"/>
        <v>0</v>
      </c>
      <c r="F99" s="3430"/>
      <c r="G99" s="3156">
        <f t="shared" si="25"/>
        <v>1</v>
      </c>
      <c r="H99" s="3430"/>
      <c r="I99" s="3156">
        <f t="shared" si="26"/>
        <v>1</v>
      </c>
      <c r="J99" s="3430"/>
      <c r="K99" s="3156">
        <f t="shared" si="27"/>
        <v>1</v>
      </c>
      <c r="L99" s="3430"/>
      <c r="M99" s="3156">
        <f t="shared" si="28"/>
        <v>1</v>
      </c>
      <c r="N99" s="3430"/>
      <c r="O99" s="3156">
        <f t="shared" si="29"/>
        <v>1</v>
      </c>
      <c r="P99" s="3430"/>
      <c r="Q99" s="3156">
        <f t="shared" si="30"/>
        <v>1</v>
      </c>
      <c r="R99" s="3921">
        <f t="shared" si="31"/>
        <v>0</v>
      </c>
      <c r="S99" s="4017">
        <f t="shared" si="22"/>
        <v>0</v>
      </c>
    </row>
    <row r="100" spans="1:19">
      <c r="A100" s="3157"/>
      <c r="B100" s="3428"/>
      <c r="C100" s="3156">
        <f t="shared" si="23"/>
        <v>1</v>
      </c>
      <c r="D100" s="3430"/>
      <c r="E100" s="3156">
        <f t="shared" si="24"/>
        <v>0</v>
      </c>
      <c r="F100" s="3430"/>
      <c r="G100" s="3156">
        <f t="shared" si="25"/>
        <v>1</v>
      </c>
      <c r="H100" s="3430"/>
      <c r="I100" s="3156">
        <f t="shared" si="26"/>
        <v>1</v>
      </c>
      <c r="J100" s="3430"/>
      <c r="K100" s="3156">
        <f t="shared" si="27"/>
        <v>1</v>
      </c>
      <c r="L100" s="3430"/>
      <c r="M100" s="3156">
        <f t="shared" si="28"/>
        <v>1</v>
      </c>
      <c r="N100" s="3430"/>
      <c r="O100" s="3156">
        <f t="shared" si="29"/>
        <v>1</v>
      </c>
      <c r="P100" s="3430"/>
      <c r="Q100" s="3156">
        <f t="shared" si="30"/>
        <v>1</v>
      </c>
      <c r="R100" s="3921">
        <f t="shared" si="31"/>
        <v>0</v>
      </c>
      <c r="S100" s="4017">
        <f t="shared" si="22"/>
        <v>0</v>
      </c>
    </row>
    <row r="101" spans="1:19">
      <c r="A101" s="3157"/>
      <c r="B101" s="3428"/>
      <c r="C101" s="3156">
        <f t="shared" si="23"/>
        <v>1</v>
      </c>
      <c r="D101" s="3430"/>
      <c r="E101" s="3156">
        <f t="shared" si="24"/>
        <v>0</v>
      </c>
      <c r="F101" s="3430"/>
      <c r="G101" s="3156">
        <f t="shared" si="25"/>
        <v>1</v>
      </c>
      <c r="H101" s="3430"/>
      <c r="I101" s="3156">
        <f t="shared" si="26"/>
        <v>1</v>
      </c>
      <c r="J101" s="3430"/>
      <c r="K101" s="3156">
        <f t="shared" si="27"/>
        <v>1</v>
      </c>
      <c r="L101" s="3430"/>
      <c r="M101" s="3156">
        <f t="shared" si="28"/>
        <v>1</v>
      </c>
      <c r="N101" s="3430"/>
      <c r="O101" s="3156">
        <f t="shared" si="29"/>
        <v>1</v>
      </c>
      <c r="P101" s="3430"/>
      <c r="Q101" s="3156">
        <f t="shared" si="30"/>
        <v>1</v>
      </c>
      <c r="R101" s="3921">
        <f t="shared" si="31"/>
        <v>0</v>
      </c>
      <c r="S101" s="4017">
        <f t="shared" si="22"/>
        <v>0</v>
      </c>
    </row>
    <row r="102" spans="1:19">
      <c r="A102" s="3157"/>
      <c r="B102" s="3428"/>
      <c r="C102" s="3156">
        <f t="shared" si="23"/>
        <v>1</v>
      </c>
      <c r="D102" s="3430"/>
      <c r="E102" s="3156">
        <f t="shared" si="24"/>
        <v>0</v>
      </c>
      <c r="F102" s="3430"/>
      <c r="G102" s="3156">
        <f t="shared" si="25"/>
        <v>1</v>
      </c>
      <c r="H102" s="3430"/>
      <c r="I102" s="3156">
        <f t="shared" si="26"/>
        <v>1</v>
      </c>
      <c r="J102" s="3430"/>
      <c r="K102" s="3156">
        <f t="shared" si="27"/>
        <v>1</v>
      </c>
      <c r="L102" s="3430"/>
      <c r="M102" s="3156">
        <f t="shared" si="28"/>
        <v>1</v>
      </c>
      <c r="N102" s="3430"/>
      <c r="O102" s="3156">
        <f t="shared" si="29"/>
        <v>1</v>
      </c>
      <c r="P102" s="3430"/>
      <c r="Q102" s="3156">
        <f t="shared" si="30"/>
        <v>1</v>
      </c>
      <c r="R102" s="3921">
        <f t="shared" si="31"/>
        <v>0</v>
      </c>
      <c r="S102" s="4017">
        <f t="shared" si="22"/>
        <v>0</v>
      </c>
    </row>
    <row r="103" spans="1:19">
      <c r="A103" s="3157"/>
      <c r="B103" s="3428"/>
      <c r="C103" s="3156">
        <f t="shared" si="23"/>
        <v>1</v>
      </c>
      <c r="D103" s="3430"/>
      <c r="E103" s="3156">
        <f t="shared" si="24"/>
        <v>0</v>
      </c>
      <c r="F103" s="3430"/>
      <c r="G103" s="3156">
        <f t="shared" si="25"/>
        <v>1</v>
      </c>
      <c r="H103" s="3430"/>
      <c r="I103" s="3156">
        <f t="shared" si="26"/>
        <v>1</v>
      </c>
      <c r="J103" s="3430"/>
      <c r="K103" s="3156">
        <f t="shared" si="27"/>
        <v>1</v>
      </c>
      <c r="L103" s="3430"/>
      <c r="M103" s="3156">
        <f t="shared" si="28"/>
        <v>1</v>
      </c>
      <c r="N103" s="3430"/>
      <c r="O103" s="3156">
        <f t="shared" si="29"/>
        <v>1</v>
      </c>
      <c r="P103" s="3430"/>
      <c r="Q103" s="3156">
        <f t="shared" si="30"/>
        <v>1</v>
      </c>
      <c r="R103" s="3921">
        <f t="shared" si="31"/>
        <v>0</v>
      </c>
      <c r="S103" s="4017">
        <f t="shared" si="22"/>
        <v>0</v>
      </c>
    </row>
    <row r="104" spans="1:19">
      <c r="A104" s="3157"/>
      <c r="B104" s="3428"/>
      <c r="C104" s="3156">
        <f t="shared" si="23"/>
        <v>1</v>
      </c>
      <c r="D104" s="3430"/>
      <c r="E104" s="3156">
        <f t="shared" si="24"/>
        <v>0</v>
      </c>
      <c r="F104" s="3430"/>
      <c r="G104" s="3156">
        <f t="shared" si="25"/>
        <v>1</v>
      </c>
      <c r="H104" s="3430"/>
      <c r="I104" s="3156">
        <f t="shared" si="26"/>
        <v>1</v>
      </c>
      <c r="J104" s="3430"/>
      <c r="K104" s="3156">
        <f t="shared" si="27"/>
        <v>1</v>
      </c>
      <c r="L104" s="3430"/>
      <c r="M104" s="3156">
        <f t="shared" si="28"/>
        <v>1</v>
      </c>
      <c r="N104" s="3430"/>
      <c r="O104" s="3156">
        <f t="shared" si="29"/>
        <v>1</v>
      </c>
      <c r="P104" s="3430"/>
      <c r="Q104" s="3156">
        <f t="shared" si="30"/>
        <v>1</v>
      </c>
      <c r="R104" s="3921">
        <f t="shared" si="31"/>
        <v>0</v>
      </c>
      <c r="S104" s="4017">
        <f t="shared" si="22"/>
        <v>0</v>
      </c>
    </row>
    <row r="105" spans="1:19">
      <c r="A105" s="3157"/>
      <c r="B105" s="3428"/>
      <c r="C105" s="3156">
        <f t="shared" si="23"/>
        <v>1</v>
      </c>
      <c r="D105" s="3430"/>
      <c r="E105" s="3156">
        <f t="shared" si="24"/>
        <v>0</v>
      </c>
      <c r="F105" s="3430"/>
      <c r="G105" s="3156">
        <f t="shared" si="25"/>
        <v>1</v>
      </c>
      <c r="H105" s="3430"/>
      <c r="I105" s="3156">
        <f t="shared" si="26"/>
        <v>1</v>
      </c>
      <c r="J105" s="3430"/>
      <c r="K105" s="3156">
        <f t="shared" si="27"/>
        <v>1</v>
      </c>
      <c r="L105" s="3430"/>
      <c r="M105" s="3156">
        <f t="shared" si="28"/>
        <v>1</v>
      </c>
      <c r="N105" s="3430"/>
      <c r="O105" s="3156">
        <f t="shared" si="29"/>
        <v>1</v>
      </c>
      <c r="P105" s="3430"/>
      <c r="Q105" s="3156">
        <f t="shared" si="30"/>
        <v>1</v>
      </c>
      <c r="R105" s="3921">
        <f t="shared" si="31"/>
        <v>0</v>
      </c>
      <c r="S105" s="4017">
        <f t="shared" si="22"/>
        <v>0</v>
      </c>
    </row>
    <row r="106" spans="1:19">
      <c r="A106" s="3157"/>
      <c r="B106" s="3428"/>
      <c r="C106" s="3156">
        <f t="shared" si="23"/>
        <v>1</v>
      </c>
      <c r="D106" s="3430"/>
      <c r="E106" s="3156">
        <f t="shared" si="24"/>
        <v>0</v>
      </c>
      <c r="F106" s="3430"/>
      <c r="G106" s="3156">
        <f t="shared" si="25"/>
        <v>1</v>
      </c>
      <c r="H106" s="3430"/>
      <c r="I106" s="3156">
        <f t="shared" si="26"/>
        <v>1</v>
      </c>
      <c r="J106" s="3430"/>
      <c r="K106" s="3156">
        <f t="shared" si="27"/>
        <v>1</v>
      </c>
      <c r="L106" s="3430"/>
      <c r="M106" s="3156">
        <f t="shared" si="28"/>
        <v>1</v>
      </c>
      <c r="N106" s="3430"/>
      <c r="O106" s="3156">
        <f t="shared" si="29"/>
        <v>1</v>
      </c>
      <c r="P106" s="3430"/>
      <c r="Q106" s="3156">
        <f t="shared" si="30"/>
        <v>1</v>
      </c>
      <c r="R106" s="3921">
        <f t="shared" si="31"/>
        <v>0</v>
      </c>
      <c r="S106" s="4017">
        <f t="shared" si="22"/>
        <v>0</v>
      </c>
    </row>
    <row r="107" spans="1:19">
      <c r="A107" s="3157"/>
      <c r="B107" s="3428"/>
      <c r="C107" s="3156">
        <f t="shared" si="23"/>
        <v>1</v>
      </c>
      <c r="D107" s="3430"/>
      <c r="E107" s="3156">
        <f t="shared" si="24"/>
        <v>0</v>
      </c>
      <c r="F107" s="3430"/>
      <c r="G107" s="3156">
        <f t="shared" si="25"/>
        <v>1</v>
      </c>
      <c r="H107" s="3430"/>
      <c r="I107" s="3156">
        <f t="shared" si="26"/>
        <v>1</v>
      </c>
      <c r="J107" s="3430"/>
      <c r="K107" s="3156">
        <f t="shared" si="27"/>
        <v>1</v>
      </c>
      <c r="L107" s="3430"/>
      <c r="M107" s="3156">
        <f t="shared" si="28"/>
        <v>1</v>
      </c>
      <c r="N107" s="3430"/>
      <c r="O107" s="3156">
        <f t="shared" si="29"/>
        <v>1</v>
      </c>
      <c r="P107" s="3430"/>
      <c r="Q107" s="3156">
        <f t="shared" si="30"/>
        <v>1</v>
      </c>
      <c r="R107" s="3921">
        <f t="shared" si="31"/>
        <v>0</v>
      </c>
      <c r="S107" s="4017">
        <f t="shared" si="22"/>
        <v>0</v>
      </c>
    </row>
    <row r="108" spans="1:19">
      <c r="A108" s="3157"/>
      <c r="B108" s="3428"/>
      <c r="C108" s="3156">
        <f t="shared" si="23"/>
        <v>1</v>
      </c>
      <c r="D108" s="3430"/>
      <c r="E108" s="3156">
        <f t="shared" si="24"/>
        <v>0</v>
      </c>
      <c r="F108" s="3430"/>
      <c r="G108" s="3156">
        <f t="shared" si="25"/>
        <v>1</v>
      </c>
      <c r="H108" s="3430"/>
      <c r="I108" s="3156">
        <f t="shared" si="26"/>
        <v>1</v>
      </c>
      <c r="J108" s="3430"/>
      <c r="K108" s="3156">
        <f t="shared" si="27"/>
        <v>1</v>
      </c>
      <c r="L108" s="3430"/>
      <c r="M108" s="3156">
        <f t="shared" si="28"/>
        <v>1</v>
      </c>
      <c r="N108" s="3430"/>
      <c r="O108" s="3156">
        <f t="shared" si="29"/>
        <v>1</v>
      </c>
      <c r="P108" s="3430"/>
      <c r="Q108" s="3156">
        <f t="shared" si="30"/>
        <v>1</v>
      </c>
      <c r="R108" s="3921">
        <f t="shared" si="31"/>
        <v>0</v>
      </c>
      <c r="S108" s="4017">
        <f t="shared" si="22"/>
        <v>0</v>
      </c>
    </row>
    <row r="109" spans="1:19">
      <c r="A109" s="3157"/>
      <c r="B109" s="3428"/>
      <c r="C109" s="3156">
        <f t="shared" si="23"/>
        <v>1</v>
      </c>
      <c r="D109" s="3430"/>
      <c r="E109" s="3156">
        <f t="shared" si="24"/>
        <v>0</v>
      </c>
      <c r="F109" s="3430"/>
      <c r="G109" s="3156">
        <f t="shared" si="25"/>
        <v>1</v>
      </c>
      <c r="H109" s="3430"/>
      <c r="I109" s="3156">
        <f t="shared" si="26"/>
        <v>1</v>
      </c>
      <c r="J109" s="3430"/>
      <c r="K109" s="3156">
        <f t="shared" si="27"/>
        <v>1</v>
      </c>
      <c r="L109" s="3430"/>
      <c r="M109" s="3156">
        <f t="shared" si="28"/>
        <v>1</v>
      </c>
      <c r="N109" s="3430"/>
      <c r="O109" s="3156">
        <f t="shared" si="29"/>
        <v>1</v>
      </c>
      <c r="P109" s="3430"/>
      <c r="Q109" s="3156">
        <f t="shared" si="30"/>
        <v>1</v>
      </c>
      <c r="R109" s="3921">
        <f t="shared" si="31"/>
        <v>0</v>
      </c>
      <c r="S109" s="4017">
        <f t="shared" si="22"/>
        <v>0</v>
      </c>
    </row>
    <row r="110" spans="1:19">
      <c r="A110" s="3157"/>
      <c r="B110" s="3428"/>
      <c r="C110" s="3156">
        <f t="shared" si="23"/>
        <v>1</v>
      </c>
      <c r="D110" s="3430"/>
      <c r="E110" s="3156">
        <f t="shared" si="24"/>
        <v>0</v>
      </c>
      <c r="F110" s="3430"/>
      <c r="G110" s="3156">
        <f t="shared" si="25"/>
        <v>1</v>
      </c>
      <c r="H110" s="3430"/>
      <c r="I110" s="3156">
        <f t="shared" si="26"/>
        <v>1</v>
      </c>
      <c r="J110" s="3430"/>
      <c r="K110" s="3156">
        <f t="shared" si="27"/>
        <v>1</v>
      </c>
      <c r="L110" s="3430"/>
      <c r="M110" s="3156">
        <f t="shared" si="28"/>
        <v>1</v>
      </c>
      <c r="N110" s="3430"/>
      <c r="O110" s="3156">
        <f t="shared" si="29"/>
        <v>1</v>
      </c>
      <c r="P110" s="3430"/>
      <c r="Q110" s="3156">
        <f t="shared" si="30"/>
        <v>1</v>
      </c>
      <c r="R110" s="3921">
        <f t="shared" si="31"/>
        <v>0</v>
      </c>
      <c r="S110" s="4017">
        <f t="shared" si="22"/>
        <v>0</v>
      </c>
    </row>
    <row r="111" spans="1:19">
      <c r="A111" s="3157"/>
      <c r="B111" s="3428"/>
      <c r="C111" s="3156">
        <f t="shared" si="23"/>
        <v>1</v>
      </c>
      <c r="D111" s="3430"/>
      <c r="E111" s="3156">
        <f t="shared" si="24"/>
        <v>0</v>
      </c>
      <c r="F111" s="3430"/>
      <c r="G111" s="3156">
        <f t="shared" si="25"/>
        <v>1</v>
      </c>
      <c r="H111" s="3430"/>
      <c r="I111" s="3156">
        <f t="shared" si="26"/>
        <v>1</v>
      </c>
      <c r="J111" s="3430"/>
      <c r="K111" s="3156">
        <f t="shared" si="27"/>
        <v>1</v>
      </c>
      <c r="L111" s="3430"/>
      <c r="M111" s="3156">
        <f t="shared" si="28"/>
        <v>1</v>
      </c>
      <c r="N111" s="3430"/>
      <c r="O111" s="3156">
        <f t="shared" si="29"/>
        <v>1</v>
      </c>
      <c r="P111" s="3430"/>
      <c r="Q111" s="3156">
        <f t="shared" si="30"/>
        <v>1</v>
      </c>
      <c r="R111" s="3921">
        <f t="shared" si="31"/>
        <v>0</v>
      </c>
      <c r="S111" s="4017">
        <f t="shared" si="22"/>
        <v>0</v>
      </c>
    </row>
    <row r="112" spans="1:19">
      <c r="A112" s="3157"/>
      <c r="B112" s="3428"/>
      <c r="C112" s="3156">
        <f t="shared" si="23"/>
        <v>1</v>
      </c>
      <c r="D112" s="3430"/>
      <c r="E112" s="3156">
        <f t="shared" si="24"/>
        <v>0</v>
      </c>
      <c r="F112" s="3430"/>
      <c r="G112" s="3156">
        <f t="shared" si="25"/>
        <v>1</v>
      </c>
      <c r="H112" s="3430"/>
      <c r="I112" s="3156">
        <f t="shared" si="26"/>
        <v>1</v>
      </c>
      <c r="J112" s="3430"/>
      <c r="K112" s="3156">
        <f t="shared" si="27"/>
        <v>1</v>
      </c>
      <c r="L112" s="3430"/>
      <c r="M112" s="3156">
        <f t="shared" si="28"/>
        <v>1</v>
      </c>
      <c r="N112" s="3430"/>
      <c r="O112" s="3156">
        <f t="shared" si="29"/>
        <v>1</v>
      </c>
      <c r="P112" s="3430"/>
      <c r="Q112" s="3156">
        <f t="shared" si="30"/>
        <v>1</v>
      </c>
      <c r="R112" s="3921">
        <f t="shared" si="31"/>
        <v>0</v>
      </c>
      <c r="S112" s="4017">
        <f t="shared" si="22"/>
        <v>0</v>
      </c>
    </row>
    <row r="113" spans="1:19">
      <c r="A113" s="3157"/>
      <c r="B113" s="3428"/>
      <c r="C113" s="3156">
        <f t="shared" si="23"/>
        <v>1</v>
      </c>
      <c r="D113" s="3430"/>
      <c r="E113" s="3156">
        <f t="shared" si="24"/>
        <v>0</v>
      </c>
      <c r="F113" s="3430"/>
      <c r="G113" s="3156">
        <f t="shared" si="25"/>
        <v>1</v>
      </c>
      <c r="H113" s="3430"/>
      <c r="I113" s="3156">
        <f t="shared" si="26"/>
        <v>1</v>
      </c>
      <c r="J113" s="3430"/>
      <c r="K113" s="3156">
        <f t="shared" si="27"/>
        <v>1</v>
      </c>
      <c r="L113" s="3430"/>
      <c r="M113" s="3156">
        <f t="shared" si="28"/>
        <v>1</v>
      </c>
      <c r="N113" s="3430"/>
      <c r="O113" s="3156">
        <f t="shared" si="29"/>
        <v>1</v>
      </c>
      <c r="P113" s="3430"/>
      <c r="Q113" s="3156">
        <f t="shared" si="30"/>
        <v>1</v>
      </c>
      <c r="R113" s="3921">
        <f t="shared" si="31"/>
        <v>0</v>
      </c>
      <c r="S113" s="4017">
        <f t="shared" si="22"/>
        <v>0</v>
      </c>
    </row>
    <row r="114" spans="1:19">
      <c r="A114" s="3157"/>
      <c r="B114" s="3428"/>
      <c r="C114" s="3156">
        <f t="shared" si="23"/>
        <v>1</v>
      </c>
      <c r="D114" s="3430"/>
      <c r="E114" s="3156">
        <f t="shared" si="24"/>
        <v>0</v>
      </c>
      <c r="F114" s="3430"/>
      <c r="G114" s="3156">
        <f t="shared" si="25"/>
        <v>1</v>
      </c>
      <c r="H114" s="3430"/>
      <c r="I114" s="3156">
        <f t="shared" si="26"/>
        <v>1</v>
      </c>
      <c r="J114" s="3430"/>
      <c r="K114" s="3156">
        <f t="shared" si="27"/>
        <v>1</v>
      </c>
      <c r="L114" s="3430"/>
      <c r="M114" s="3156">
        <f t="shared" si="28"/>
        <v>1</v>
      </c>
      <c r="N114" s="3430"/>
      <c r="O114" s="3156">
        <f t="shared" si="29"/>
        <v>1</v>
      </c>
      <c r="P114" s="3430"/>
      <c r="Q114" s="3156">
        <f t="shared" si="30"/>
        <v>1</v>
      </c>
      <c r="R114" s="3921">
        <f t="shared" si="31"/>
        <v>0</v>
      </c>
      <c r="S114" s="4017">
        <f t="shared" si="22"/>
        <v>0</v>
      </c>
    </row>
    <row r="115" spans="1:19">
      <c r="A115" s="3157"/>
      <c r="B115" s="3428"/>
      <c r="C115" s="3156">
        <f t="shared" si="23"/>
        <v>1</v>
      </c>
      <c r="D115" s="3430"/>
      <c r="E115" s="3156">
        <f t="shared" si="24"/>
        <v>0</v>
      </c>
      <c r="F115" s="3430"/>
      <c r="G115" s="3156">
        <f t="shared" si="25"/>
        <v>1</v>
      </c>
      <c r="H115" s="3430"/>
      <c r="I115" s="3156">
        <f t="shared" si="26"/>
        <v>1</v>
      </c>
      <c r="J115" s="3430"/>
      <c r="K115" s="3156">
        <f t="shared" si="27"/>
        <v>1</v>
      </c>
      <c r="L115" s="3430"/>
      <c r="M115" s="3156">
        <f t="shared" si="28"/>
        <v>1</v>
      </c>
      <c r="N115" s="3430"/>
      <c r="O115" s="3156">
        <f t="shared" si="29"/>
        <v>1</v>
      </c>
      <c r="P115" s="3430"/>
      <c r="Q115" s="3156">
        <f t="shared" si="30"/>
        <v>1</v>
      </c>
      <c r="R115" s="3921">
        <f t="shared" si="31"/>
        <v>0</v>
      </c>
      <c r="S115" s="4017">
        <f t="shared" si="22"/>
        <v>0</v>
      </c>
    </row>
    <row r="116" spans="1:19">
      <c r="A116" s="3157"/>
      <c r="B116" s="3428"/>
      <c r="C116" s="3156">
        <f t="shared" si="23"/>
        <v>1</v>
      </c>
      <c r="D116" s="3430"/>
      <c r="E116" s="3156">
        <f t="shared" si="24"/>
        <v>0</v>
      </c>
      <c r="F116" s="3430"/>
      <c r="G116" s="3156">
        <f t="shared" si="25"/>
        <v>1</v>
      </c>
      <c r="H116" s="3430"/>
      <c r="I116" s="3156">
        <f t="shared" si="26"/>
        <v>1</v>
      </c>
      <c r="J116" s="3430"/>
      <c r="K116" s="3156">
        <f t="shared" si="27"/>
        <v>1</v>
      </c>
      <c r="L116" s="3430"/>
      <c r="M116" s="3156">
        <f t="shared" si="28"/>
        <v>1</v>
      </c>
      <c r="N116" s="3430"/>
      <c r="O116" s="3156">
        <f t="shared" si="29"/>
        <v>1</v>
      </c>
      <c r="P116" s="3430"/>
      <c r="Q116" s="3156">
        <f t="shared" si="30"/>
        <v>1</v>
      </c>
      <c r="R116" s="3921">
        <f t="shared" si="31"/>
        <v>0</v>
      </c>
      <c r="S116" s="4017">
        <f t="shared" si="22"/>
        <v>0</v>
      </c>
    </row>
    <row r="117" spans="1:19">
      <c r="A117" s="3157"/>
      <c r="B117" s="3428"/>
      <c r="C117" s="3156">
        <f t="shared" si="23"/>
        <v>1</v>
      </c>
      <c r="D117" s="3430"/>
      <c r="E117" s="3156">
        <f t="shared" si="24"/>
        <v>0</v>
      </c>
      <c r="F117" s="3430"/>
      <c r="G117" s="3156">
        <f t="shared" si="25"/>
        <v>1</v>
      </c>
      <c r="H117" s="3430"/>
      <c r="I117" s="3156">
        <f t="shared" si="26"/>
        <v>1</v>
      </c>
      <c r="J117" s="3430"/>
      <c r="K117" s="3156">
        <f t="shared" si="27"/>
        <v>1</v>
      </c>
      <c r="L117" s="3430"/>
      <c r="M117" s="3156">
        <f t="shared" si="28"/>
        <v>1</v>
      </c>
      <c r="N117" s="3430"/>
      <c r="O117" s="3156">
        <f t="shared" si="29"/>
        <v>1</v>
      </c>
      <c r="P117" s="3430"/>
      <c r="Q117" s="3156">
        <f t="shared" si="30"/>
        <v>1</v>
      </c>
      <c r="R117" s="3921">
        <f t="shared" si="31"/>
        <v>0</v>
      </c>
      <c r="S117" s="4017">
        <f t="shared" si="22"/>
        <v>0</v>
      </c>
    </row>
    <row r="118" spans="1:19">
      <c r="A118" s="3157"/>
      <c r="B118" s="3428"/>
      <c r="C118" s="3156">
        <f t="shared" si="23"/>
        <v>1</v>
      </c>
      <c r="D118" s="3430"/>
      <c r="E118" s="3156">
        <f t="shared" si="24"/>
        <v>0</v>
      </c>
      <c r="F118" s="3430"/>
      <c r="G118" s="3156">
        <f t="shared" si="25"/>
        <v>1</v>
      </c>
      <c r="H118" s="3430"/>
      <c r="I118" s="3156">
        <f t="shared" si="26"/>
        <v>1</v>
      </c>
      <c r="J118" s="3430"/>
      <c r="K118" s="3156">
        <f t="shared" si="27"/>
        <v>1</v>
      </c>
      <c r="L118" s="3430"/>
      <c r="M118" s="3156">
        <f t="shared" si="28"/>
        <v>1</v>
      </c>
      <c r="N118" s="3430"/>
      <c r="O118" s="3156">
        <f t="shared" si="29"/>
        <v>1</v>
      </c>
      <c r="P118" s="3430"/>
      <c r="Q118" s="3156">
        <f t="shared" si="30"/>
        <v>1</v>
      </c>
      <c r="R118" s="3921">
        <f t="shared" si="31"/>
        <v>0</v>
      </c>
      <c r="S118" s="4017">
        <f t="shared" si="22"/>
        <v>0</v>
      </c>
    </row>
    <row r="119" spans="1:19">
      <c r="A119" s="3157"/>
      <c r="B119" s="3428"/>
      <c r="C119" s="3156">
        <f t="shared" si="23"/>
        <v>1</v>
      </c>
      <c r="D119" s="3430"/>
      <c r="E119" s="3156">
        <f t="shared" si="24"/>
        <v>0</v>
      </c>
      <c r="F119" s="3430"/>
      <c r="G119" s="3156">
        <f t="shared" si="25"/>
        <v>1</v>
      </c>
      <c r="H119" s="3430"/>
      <c r="I119" s="3156">
        <f t="shared" si="26"/>
        <v>1</v>
      </c>
      <c r="J119" s="3430"/>
      <c r="K119" s="3156">
        <f t="shared" si="27"/>
        <v>1</v>
      </c>
      <c r="L119" s="3430"/>
      <c r="M119" s="3156">
        <f t="shared" si="28"/>
        <v>1</v>
      </c>
      <c r="N119" s="3430"/>
      <c r="O119" s="3156">
        <f t="shared" si="29"/>
        <v>1</v>
      </c>
      <c r="P119" s="3430"/>
      <c r="Q119" s="3156">
        <f t="shared" si="30"/>
        <v>1</v>
      </c>
      <c r="R119" s="3921">
        <f t="shared" si="31"/>
        <v>0</v>
      </c>
      <c r="S119" s="4017">
        <f t="shared" si="22"/>
        <v>0</v>
      </c>
    </row>
    <row r="120" spans="1:19">
      <c r="A120" s="3157"/>
      <c r="B120" s="3428"/>
      <c r="C120" s="3156">
        <f t="shared" si="23"/>
        <v>1</v>
      </c>
      <c r="D120" s="3430"/>
      <c r="E120" s="3156">
        <f t="shared" si="24"/>
        <v>0</v>
      </c>
      <c r="F120" s="3430"/>
      <c r="G120" s="3156">
        <f t="shared" si="25"/>
        <v>1</v>
      </c>
      <c r="H120" s="3430"/>
      <c r="I120" s="3156">
        <f t="shared" si="26"/>
        <v>1</v>
      </c>
      <c r="J120" s="3430"/>
      <c r="K120" s="3156">
        <f t="shared" si="27"/>
        <v>1</v>
      </c>
      <c r="L120" s="3430"/>
      <c r="M120" s="3156">
        <f t="shared" si="28"/>
        <v>1</v>
      </c>
      <c r="N120" s="3430"/>
      <c r="O120" s="3156">
        <f t="shared" si="29"/>
        <v>1</v>
      </c>
      <c r="P120" s="3430"/>
      <c r="Q120" s="3156">
        <f t="shared" si="30"/>
        <v>1</v>
      </c>
      <c r="R120" s="3921">
        <f t="shared" si="31"/>
        <v>0</v>
      </c>
      <c r="S120" s="4017">
        <f t="shared" si="22"/>
        <v>0</v>
      </c>
    </row>
    <row r="121" spans="1:19">
      <c r="A121" s="3157"/>
      <c r="B121" s="3428"/>
      <c r="C121" s="3156">
        <f t="shared" si="23"/>
        <v>1</v>
      </c>
      <c r="D121" s="3430"/>
      <c r="E121" s="3156">
        <f t="shared" si="24"/>
        <v>0</v>
      </c>
      <c r="F121" s="3430"/>
      <c r="G121" s="3156">
        <f t="shared" si="25"/>
        <v>1</v>
      </c>
      <c r="H121" s="3430"/>
      <c r="I121" s="3156">
        <f t="shared" si="26"/>
        <v>1</v>
      </c>
      <c r="J121" s="3430"/>
      <c r="K121" s="3156">
        <f t="shared" si="27"/>
        <v>1</v>
      </c>
      <c r="L121" s="3430"/>
      <c r="M121" s="3156">
        <f t="shared" si="28"/>
        <v>1</v>
      </c>
      <c r="N121" s="3430"/>
      <c r="O121" s="3156">
        <f t="shared" si="29"/>
        <v>1</v>
      </c>
      <c r="P121" s="3430"/>
      <c r="Q121" s="3156">
        <f t="shared" si="30"/>
        <v>1</v>
      </c>
      <c r="R121" s="3921">
        <f t="shared" si="31"/>
        <v>0</v>
      </c>
      <c r="S121" s="4017">
        <f t="shared" si="22"/>
        <v>0</v>
      </c>
    </row>
    <row r="122" spans="1:19">
      <c r="A122" s="3157"/>
      <c r="B122" s="3428"/>
      <c r="C122" s="3156">
        <f t="shared" si="23"/>
        <v>1</v>
      </c>
      <c r="D122" s="3430"/>
      <c r="E122" s="3156">
        <f t="shared" si="24"/>
        <v>0</v>
      </c>
      <c r="F122" s="3430"/>
      <c r="G122" s="3156">
        <f t="shared" si="25"/>
        <v>1</v>
      </c>
      <c r="H122" s="3430"/>
      <c r="I122" s="3156">
        <f t="shared" si="26"/>
        <v>1</v>
      </c>
      <c r="J122" s="3430"/>
      <c r="K122" s="3156">
        <f t="shared" si="27"/>
        <v>1</v>
      </c>
      <c r="L122" s="3430"/>
      <c r="M122" s="3156">
        <f t="shared" si="28"/>
        <v>1</v>
      </c>
      <c r="N122" s="3430"/>
      <c r="O122" s="3156">
        <f t="shared" si="29"/>
        <v>1</v>
      </c>
      <c r="P122" s="3430"/>
      <c r="Q122" s="3156">
        <f t="shared" si="30"/>
        <v>1</v>
      </c>
      <c r="R122" s="3921">
        <f t="shared" si="31"/>
        <v>0</v>
      </c>
      <c r="S122" s="4017">
        <f t="shared" si="22"/>
        <v>0</v>
      </c>
    </row>
    <row r="123" spans="1:19">
      <c r="A123" s="3157"/>
      <c r="B123" s="3428"/>
      <c r="C123" s="3156">
        <f t="shared" si="23"/>
        <v>1</v>
      </c>
      <c r="D123" s="3430"/>
      <c r="E123" s="3156">
        <f t="shared" si="24"/>
        <v>0</v>
      </c>
      <c r="F123" s="3430"/>
      <c r="G123" s="3156">
        <f t="shared" si="25"/>
        <v>1</v>
      </c>
      <c r="H123" s="3430"/>
      <c r="I123" s="3156">
        <f t="shared" si="26"/>
        <v>1</v>
      </c>
      <c r="J123" s="3430"/>
      <c r="K123" s="3156">
        <f t="shared" si="27"/>
        <v>1</v>
      </c>
      <c r="L123" s="3430"/>
      <c r="M123" s="3156">
        <f t="shared" si="28"/>
        <v>1</v>
      </c>
      <c r="N123" s="3430"/>
      <c r="O123" s="3156">
        <f t="shared" si="29"/>
        <v>1</v>
      </c>
      <c r="P123" s="3430"/>
      <c r="Q123" s="3156">
        <f t="shared" si="30"/>
        <v>1</v>
      </c>
      <c r="R123" s="3921">
        <f t="shared" si="31"/>
        <v>0</v>
      </c>
      <c r="S123" s="4017">
        <f t="shared" ref="S123:S186" si="32">ROUND(R123*B123/10000,0)</f>
        <v>0</v>
      </c>
    </row>
    <row r="124" spans="1:19">
      <c r="A124" s="3157"/>
      <c r="B124" s="3428"/>
      <c r="C124" s="3156">
        <f t="shared" si="23"/>
        <v>1</v>
      </c>
      <c r="D124" s="3430"/>
      <c r="E124" s="3156">
        <f t="shared" si="24"/>
        <v>0</v>
      </c>
      <c r="F124" s="3430"/>
      <c r="G124" s="3156">
        <f t="shared" si="25"/>
        <v>1</v>
      </c>
      <c r="H124" s="3430"/>
      <c r="I124" s="3156">
        <f t="shared" si="26"/>
        <v>1</v>
      </c>
      <c r="J124" s="3430"/>
      <c r="K124" s="3156">
        <f t="shared" si="27"/>
        <v>1</v>
      </c>
      <c r="L124" s="3430"/>
      <c r="M124" s="3156">
        <f t="shared" si="28"/>
        <v>1</v>
      </c>
      <c r="N124" s="3430"/>
      <c r="O124" s="3156">
        <f t="shared" si="29"/>
        <v>1</v>
      </c>
      <c r="P124" s="3430"/>
      <c r="Q124" s="3156">
        <f t="shared" si="30"/>
        <v>1</v>
      </c>
      <c r="R124" s="3921">
        <f t="shared" si="31"/>
        <v>0</v>
      </c>
      <c r="S124" s="4017">
        <f t="shared" si="32"/>
        <v>0</v>
      </c>
    </row>
    <row r="125" spans="1:19">
      <c r="A125" s="3157"/>
      <c r="B125" s="3428"/>
      <c r="C125" s="3156">
        <f t="shared" si="23"/>
        <v>1</v>
      </c>
      <c r="D125" s="3430"/>
      <c r="E125" s="3156">
        <f t="shared" si="24"/>
        <v>0</v>
      </c>
      <c r="F125" s="3430"/>
      <c r="G125" s="3156">
        <f t="shared" si="25"/>
        <v>1</v>
      </c>
      <c r="H125" s="3430"/>
      <c r="I125" s="3156">
        <f t="shared" si="26"/>
        <v>1</v>
      </c>
      <c r="J125" s="3430"/>
      <c r="K125" s="3156">
        <f t="shared" si="27"/>
        <v>1</v>
      </c>
      <c r="L125" s="3430"/>
      <c r="M125" s="3156">
        <f t="shared" si="28"/>
        <v>1</v>
      </c>
      <c r="N125" s="3430"/>
      <c r="O125" s="3156">
        <f t="shared" si="29"/>
        <v>1</v>
      </c>
      <c r="P125" s="3430"/>
      <c r="Q125" s="3156">
        <f t="shared" si="30"/>
        <v>1</v>
      </c>
      <c r="R125" s="3921">
        <f t="shared" si="31"/>
        <v>0</v>
      </c>
      <c r="S125" s="4017">
        <f t="shared" si="32"/>
        <v>0</v>
      </c>
    </row>
    <row r="126" spans="1:19">
      <c r="A126" s="3157"/>
      <c r="B126" s="3428"/>
      <c r="C126" s="3156">
        <f t="shared" si="23"/>
        <v>1</v>
      </c>
      <c r="D126" s="3430"/>
      <c r="E126" s="3156">
        <f t="shared" si="24"/>
        <v>0</v>
      </c>
      <c r="F126" s="3430"/>
      <c r="G126" s="3156">
        <f t="shared" si="25"/>
        <v>1</v>
      </c>
      <c r="H126" s="3430"/>
      <c r="I126" s="3156">
        <f t="shared" si="26"/>
        <v>1</v>
      </c>
      <c r="J126" s="3430"/>
      <c r="K126" s="3156">
        <f t="shared" si="27"/>
        <v>1</v>
      </c>
      <c r="L126" s="3430"/>
      <c r="M126" s="3156">
        <f t="shared" si="28"/>
        <v>1</v>
      </c>
      <c r="N126" s="3430"/>
      <c r="O126" s="3156">
        <f t="shared" si="29"/>
        <v>1</v>
      </c>
      <c r="P126" s="3430"/>
      <c r="Q126" s="3156">
        <f t="shared" si="30"/>
        <v>1</v>
      </c>
      <c r="R126" s="3921">
        <f t="shared" si="31"/>
        <v>0</v>
      </c>
      <c r="S126" s="4017">
        <f t="shared" si="32"/>
        <v>0</v>
      </c>
    </row>
    <row r="127" spans="1:19">
      <c r="A127" s="3157"/>
      <c r="B127" s="3428"/>
      <c r="C127" s="3156">
        <f t="shared" si="23"/>
        <v>1</v>
      </c>
      <c r="D127" s="3430"/>
      <c r="E127" s="3156">
        <f t="shared" si="24"/>
        <v>0</v>
      </c>
      <c r="F127" s="3430"/>
      <c r="G127" s="3156">
        <f t="shared" si="25"/>
        <v>1</v>
      </c>
      <c r="H127" s="3430"/>
      <c r="I127" s="3156">
        <f t="shared" si="26"/>
        <v>1</v>
      </c>
      <c r="J127" s="3430"/>
      <c r="K127" s="3156">
        <f t="shared" si="27"/>
        <v>1</v>
      </c>
      <c r="L127" s="3430"/>
      <c r="M127" s="3156">
        <f t="shared" si="28"/>
        <v>1</v>
      </c>
      <c r="N127" s="3430"/>
      <c r="O127" s="3156">
        <f t="shared" si="29"/>
        <v>1</v>
      </c>
      <c r="P127" s="3430"/>
      <c r="Q127" s="3156">
        <f t="shared" si="30"/>
        <v>1</v>
      </c>
      <c r="R127" s="3921">
        <f t="shared" si="31"/>
        <v>0</v>
      </c>
      <c r="S127" s="4017">
        <f t="shared" si="32"/>
        <v>0</v>
      </c>
    </row>
    <row r="128" spans="1:19">
      <c r="A128" s="3157"/>
      <c r="B128" s="3428"/>
      <c r="C128" s="3156">
        <f t="shared" si="23"/>
        <v>1</v>
      </c>
      <c r="D128" s="3430"/>
      <c r="E128" s="3156">
        <f t="shared" si="24"/>
        <v>0</v>
      </c>
      <c r="F128" s="3430"/>
      <c r="G128" s="3156">
        <f t="shared" si="25"/>
        <v>1</v>
      </c>
      <c r="H128" s="3430"/>
      <c r="I128" s="3156">
        <f t="shared" si="26"/>
        <v>1</v>
      </c>
      <c r="J128" s="3430"/>
      <c r="K128" s="3156">
        <f t="shared" si="27"/>
        <v>1</v>
      </c>
      <c r="L128" s="3430"/>
      <c r="M128" s="3156">
        <f t="shared" si="28"/>
        <v>1</v>
      </c>
      <c r="N128" s="3430"/>
      <c r="O128" s="3156">
        <f t="shared" si="29"/>
        <v>1</v>
      </c>
      <c r="P128" s="3430"/>
      <c r="Q128" s="3156">
        <f t="shared" si="30"/>
        <v>1</v>
      </c>
      <c r="R128" s="3921">
        <f t="shared" si="31"/>
        <v>0</v>
      </c>
      <c r="S128" s="4017">
        <f t="shared" si="32"/>
        <v>0</v>
      </c>
    </row>
    <row r="129" spans="1:19">
      <c r="A129" s="3157"/>
      <c r="B129" s="3428"/>
      <c r="C129" s="3156">
        <f t="shared" si="23"/>
        <v>1</v>
      </c>
      <c r="D129" s="3430"/>
      <c r="E129" s="3156">
        <f t="shared" si="24"/>
        <v>0</v>
      </c>
      <c r="F129" s="3430"/>
      <c r="G129" s="3156">
        <f t="shared" si="25"/>
        <v>1</v>
      </c>
      <c r="H129" s="3430"/>
      <c r="I129" s="3156">
        <f t="shared" si="26"/>
        <v>1</v>
      </c>
      <c r="J129" s="3430"/>
      <c r="K129" s="3156">
        <f t="shared" si="27"/>
        <v>1</v>
      </c>
      <c r="L129" s="3430"/>
      <c r="M129" s="3156">
        <f t="shared" si="28"/>
        <v>1</v>
      </c>
      <c r="N129" s="3430"/>
      <c r="O129" s="3156">
        <f t="shared" si="29"/>
        <v>1</v>
      </c>
      <c r="P129" s="3430"/>
      <c r="Q129" s="3156">
        <f t="shared" si="30"/>
        <v>1</v>
      </c>
      <c r="R129" s="3921">
        <f t="shared" si="31"/>
        <v>0</v>
      </c>
      <c r="S129" s="4017">
        <f t="shared" si="32"/>
        <v>0</v>
      </c>
    </row>
    <row r="130" spans="1:19">
      <c r="A130" s="3157"/>
      <c r="B130" s="3428"/>
      <c r="C130" s="3156">
        <f t="shared" si="23"/>
        <v>1</v>
      </c>
      <c r="D130" s="3430"/>
      <c r="E130" s="3156">
        <f t="shared" si="24"/>
        <v>0</v>
      </c>
      <c r="F130" s="3430"/>
      <c r="G130" s="3156">
        <f t="shared" si="25"/>
        <v>1</v>
      </c>
      <c r="H130" s="3430"/>
      <c r="I130" s="3156">
        <f t="shared" si="26"/>
        <v>1</v>
      </c>
      <c r="J130" s="3430"/>
      <c r="K130" s="3156">
        <f t="shared" si="27"/>
        <v>1</v>
      </c>
      <c r="L130" s="3430"/>
      <c r="M130" s="3156">
        <f t="shared" si="28"/>
        <v>1</v>
      </c>
      <c r="N130" s="3430"/>
      <c r="O130" s="3156">
        <f t="shared" si="29"/>
        <v>1</v>
      </c>
      <c r="P130" s="3430"/>
      <c r="Q130" s="3156">
        <f t="shared" si="30"/>
        <v>1</v>
      </c>
      <c r="R130" s="3921">
        <f t="shared" si="31"/>
        <v>0</v>
      </c>
      <c r="S130" s="4017">
        <f t="shared" si="32"/>
        <v>0</v>
      </c>
    </row>
    <row r="131" spans="1:19">
      <c r="A131" s="3157"/>
      <c r="B131" s="3428"/>
      <c r="C131" s="3156">
        <f t="shared" si="23"/>
        <v>1</v>
      </c>
      <c r="D131" s="3430"/>
      <c r="E131" s="3156">
        <f t="shared" si="24"/>
        <v>0</v>
      </c>
      <c r="F131" s="3430"/>
      <c r="G131" s="3156">
        <f t="shared" si="25"/>
        <v>1</v>
      </c>
      <c r="H131" s="3430"/>
      <c r="I131" s="3156">
        <f t="shared" si="26"/>
        <v>1</v>
      </c>
      <c r="J131" s="3430"/>
      <c r="K131" s="3156">
        <f t="shared" si="27"/>
        <v>1</v>
      </c>
      <c r="L131" s="3430"/>
      <c r="M131" s="3156">
        <f t="shared" si="28"/>
        <v>1</v>
      </c>
      <c r="N131" s="3430"/>
      <c r="O131" s="3156">
        <f t="shared" si="29"/>
        <v>1</v>
      </c>
      <c r="P131" s="3430"/>
      <c r="Q131" s="3156">
        <f t="shared" si="30"/>
        <v>1</v>
      </c>
      <c r="R131" s="3921">
        <f t="shared" si="31"/>
        <v>0</v>
      </c>
      <c r="S131" s="4017">
        <f t="shared" si="32"/>
        <v>0</v>
      </c>
    </row>
    <row r="132" spans="1:19">
      <c r="A132" s="3157"/>
      <c r="B132" s="3428"/>
      <c r="C132" s="3156">
        <f t="shared" si="23"/>
        <v>1</v>
      </c>
      <c r="D132" s="3430"/>
      <c r="E132" s="3156">
        <f t="shared" si="24"/>
        <v>0</v>
      </c>
      <c r="F132" s="3430"/>
      <c r="G132" s="3156">
        <f t="shared" si="25"/>
        <v>1</v>
      </c>
      <c r="H132" s="3430"/>
      <c r="I132" s="3156">
        <f t="shared" si="26"/>
        <v>1</v>
      </c>
      <c r="J132" s="3430"/>
      <c r="K132" s="3156">
        <f t="shared" si="27"/>
        <v>1</v>
      </c>
      <c r="L132" s="3430"/>
      <c r="M132" s="3156">
        <f t="shared" si="28"/>
        <v>1</v>
      </c>
      <c r="N132" s="3430"/>
      <c r="O132" s="3156">
        <f t="shared" si="29"/>
        <v>1</v>
      </c>
      <c r="P132" s="3430"/>
      <c r="Q132" s="3156">
        <f t="shared" si="30"/>
        <v>1</v>
      </c>
      <c r="R132" s="3921">
        <f t="shared" si="31"/>
        <v>0</v>
      </c>
      <c r="S132" s="4017">
        <f t="shared" si="32"/>
        <v>0</v>
      </c>
    </row>
    <row r="133" spans="1:19">
      <c r="A133" s="3157"/>
      <c r="B133" s="3428"/>
      <c r="C133" s="3156">
        <f t="shared" si="23"/>
        <v>1</v>
      </c>
      <c r="D133" s="3430"/>
      <c r="E133" s="3156">
        <f t="shared" si="24"/>
        <v>0</v>
      </c>
      <c r="F133" s="3430"/>
      <c r="G133" s="3156">
        <f t="shared" si="25"/>
        <v>1</v>
      </c>
      <c r="H133" s="3430"/>
      <c r="I133" s="3156">
        <f t="shared" si="26"/>
        <v>1</v>
      </c>
      <c r="J133" s="3430"/>
      <c r="K133" s="3156">
        <f t="shared" si="27"/>
        <v>1</v>
      </c>
      <c r="L133" s="3430"/>
      <c r="M133" s="3156">
        <f t="shared" si="28"/>
        <v>1</v>
      </c>
      <c r="N133" s="3430"/>
      <c r="O133" s="3156">
        <f t="shared" si="29"/>
        <v>1</v>
      </c>
      <c r="P133" s="3430"/>
      <c r="Q133" s="3156">
        <f t="shared" si="30"/>
        <v>1</v>
      </c>
      <c r="R133" s="3921">
        <f t="shared" si="31"/>
        <v>0</v>
      </c>
      <c r="S133" s="4017">
        <f t="shared" si="32"/>
        <v>0</v>
      </c>
    </row>
    <row r="134" spans="1:19">
      <c r="A134" s="3157"/>
      <c r="B134" s="3428"/>
      <c r="C134" s="3156">
        <f t="shared" si="23"/>
        <v>1</v>
      </c>
      <c r="D134" s="3430"/>
      <c r="E134" s="3156">
        <f t="shared" si="24"/>
        <v>0</v>
      </c>
      <c r="F134" s="3430"/>
      <c r="G134" s="3156">
        <f t="shared" si="25"/>
        <v>1</v>
      </c>
      <c r="H134" s="3430"/>
      <c r="I134" s="3156">
        <f t="shared" si="26"/>
        <v>1</v>
      </c>
      <c r="J134" s="3430"/>
      <c r="K134" s="3156">
        <f t="shared" si="27"/>
        <v>1</v>
      </c>
      <c r="L134" s="3430"/>
      <c r="M134" s="3156">
        <f t="shared" si="28"/>
        <v>1</v>
      </c>
      <c r="N134" s="3430"/>
      <c r="O134" s="3156">
        <f t="shared" si="29"/>
        <v>1</v>
      </c>
      <c r="P134" s="3430"/>
      <c r="Q134" s="3156">
        <f t="shared" si="30"/>
        <v>1</v>
      </c>
      <c r="R134" s="3921">
        <f t="shared" si="31"/>
        <v>0</v>
      </c>
      <c r="S134" s="4017">
        <f t="shared" si="32"/>
        <v>0</v>
      </c>
    </row>
    <row r="135" spans="1:19">
      <c r="A135" s="3157"/>
      <c r="B135" s="3428"/>
      <c r="C135" s="3156">
        <f t="shared" si="23"/>
        <v>1</v>
      </c>
      <c r="D135" s="3430"/>
      <c r="E135" s="3156">
        <f t="shared" si="24"/>
        <v>0</v>
      </c>
      <c r="F135" s="3430"/>
      <c r="G135" s="3156">
        <f t="shared" si="25"/>
        <v>1</v>
      </c>
      <c r="H135" s="3430"/>
      <c r="I135" s="3156">
        <f t="shared" si="26"/>
        <v>1</v>
      </c>
      <c r="J135" s="3430"/>
      <c r="K135" s="3156">
        <f t="shared" si="27"/>
        <v>1</v>
      </c>
      <c r="L135" s="3430"/>
      <c r="M135" s="3156">
        <f t="shared" si="28"/>
        <v>1</v>
      </c>
      <c r="N135" s="3430"/>
      <c r="O135" s="3156">
        <f t="shared" si="29"/>
        <v>1</v>
      </c>
      <c r="P135" s="3430"/>
      <c r="Q135" s="3156">
        <f t="shared" si="30"/>
        <v>1</v>
      </c>
      <c r="R135" s="3921">
        <f t="shared" si="31"/>
        <v>0</v>
      </c>
      <c r="S135" s="4017">
        <f t="shared" si="32"/>
        <v>0</v>
      </c>
    </row>
    <row r="136" spans="1:19">
      <c r="A136" s="3157"/>
      <c r="B136" s="3428"/>
      <c r="C136" s="3156">
        <f t="shared" si="23"/>
        <v>1</v>
      </c>
      <c r="D136" s="3430"/>
      <c r="E136" s="3156">
        <f t="shared" si="24"/>
        <v>0</v>
      </c>
      <c r="F136" s="3430"/>
      <c r="G136" s="3156">
        <f t="shared" si="25"/>
        <v>1</v>
      </c>
      <c r="H136" s="3430"/>
      <c r="I136" s="3156">
        <f t="shared" si="26"/>
        <v>1</v>
      </c>
      <c r="J136" s="3430"/>
      <c r="K136" s="3156">
        <f t="shared" si="27"/>
        <v>1</v>
      </c>
      <c r="L136" s="3430"/>
      <c r="M136" s="3156">
        <f t="shared" si="28"/>
        <v>1</v>
      </c>
      <c r="N136" s="3430"/>
      <c r="O136" s="3156">
        <f t="shared" si="29"/>
        <v>1</v>
      </c>
      <c r="P136" s="3430"/>
      <c r="Q136" s="3156">
        <f t="shared" si="30"/>
        <v>1</v>
      </c>
      <c r="R136" s="3921">
        <f t="shared" si="31"/>
        <v>0</v>
      </c>
      <c r="S136" s="4017">
        <f t="shared" si="32"/>
        <v>0</v>
      </c>
    </row>
    <row r="137" spans="1:19">
      <c r="A137" s="3157"/>
      <c r="B137" s="3428"/>
      <c r="C137" s="3156">
        <f t="shared" si="23"/>
        <v>1</v>
      </c>
      <c r="D137" s="3430"/>
      <c r="E137" s="3156">
        <f t="shared" si="24"/>
        <v>0</v>
      </c>
      <c r="F137" s="3430"/>
      <c r="G137" s="3156">
        <f t="shared" si="25"/>
        <v>1</v>
      </c>
      <c r="H137" s="3430"/>
      <c r="I137" s="3156">
        <f t="shared" si="26"/>
        <v>1</v>
      </c>
      <c r="J137" s="3430"/>
      <c r="K137" s="3156">
        <f t="shared" si="27"/>
        <v>1</v>
      </c>
      <c r="L137" s="3430"/>
      <c r="M137" s="3156">
        <f t="shared" si="28"/>
        <v>1</v>
      </c>
      <c r="N137" s="3430"/>
      <c r="O137" s="3156">
        <f t="shared" si="29"/>
        <v>1</v>
      </c>
      <c r="P137" s="3430"/>
      <c r="Q137" s="3156">
        <f t="shared" si="30"/>
        <v>1</v>
      </c>
      <c r="R137" s="3921">
        <f t="shared" si="31"/>
        <v>0</v>
      </c>
      <c r="S137" s="4017">
        <f t="shared" si="32"/>
        <v>0</v>
      </c>
    </row>
    <row r="138" spans="1:19">
      <c r="A138" s="3157"/>
      <c r="B138" s="3428"/>
      <c r="C138" s="3156">
        <f t="shared" si="23"/>
        <v>1</v>
      </c>
      <c r="D138" s="3430"/>
      <c r="E138" s="3156">
        <f t="shared" si="24"/>
        <v>0</v>
      </c>
      <c r="F138" s="3430"/>
      <c r="G138" s="3156">
        <f t="shared" si="25"/>
        <v>1</v>
      </c>
      <c r="H138" s="3430"/>
      <c r="I138" s="3156">
        <f t="shared" si="26"/>
        <v>1</v>
      </c>
      <c r="J138" s="3430"/>
      <c r="K138" s="3156">
        <f t="shared" si="27"/>
        <v>1</v>
      </c>
      <c r="L138" s="3430"/>
      <c r="M138" s="3156">
        <f t="shared" si="28"/>
        <v>1</v>
      </c>
      <c r="N138" s="3430"/>
      <c r="O138" s="3156">
        <f t="shared" si="29"/>
        <v>1</v>
      </c>
      <c r="P138" s="3430"/>
      <c r="Q138" s="3156">
        <f t="shared" si="30"/>
        <v>1</v>
      </c>
      <c r="R138" s="3921">
        <f t="shared" si="31"/>
        <v>0</v>
      </c>
      <c r="S138" s="4017">
        <f t="shared" si="32"/>
        <v>0</v>
      </c>
    </row>
    <row r="139" spans="1:19">
      <c r="A139" s="3157"/>
      <c r="B139" s="3428"/>
      <c r="C139" s="3156">
        <f t="shared" si="23"/>
        <v>1</v>
      </c>
      <c r="D139" s="3430"/>
      <c r="E139" s="3156">
        <f t="shared" si="24"/>
        <v>0</v>
      </c>
      <c r="F139" s="3430"/>
      <c r="G139" s="3156">
        <f t="shared" si="25"/>
        <v>1</v>
      </c>
      <c r="H139" s="3430"/>
      <c r="I139" s="3156">
        <f t="shared" si="26"/>
        <v>1</v>
      </c>
      <c r="J139" s="3430"/>
      <c r="K139" s="3156">
        <f t="shared" si="27"/>
        <v>1</v>
      </c>
      <c r="L139" s="3430"/>
      <c r="M139" s="3156">
        <f t="shared" si="28"/>
        <v>1</v>
      </c>
      <c r="N139" s="3430"/>
      <c r="O139" s="3156">
        <f t="shared" si="29"/>
        <v>1</v>
      </c>
      <c r="P139" s="3430"/>
      <c r="Q139" s="3156">
        <f t="shared" si="30"/>
        <v>1</v>
      </c>
      <c r="R139" s="3921">
        <f t="shared" si="31"/>
        <v>0</v>
      </c>
      <c r="S139" s="4017">
        <f t="shared" si="32"/>
        <v>0</v>
      </c>
    </row>
    <row r="140" spans="1:19">
      <c r="A140" s="3157"/>
      <c r="B140" s="3428"/>
      <c r="C140" s="3156">
        <f t="shared" si="23"/>
        <v>1</v>
      </c>
      <c r="D140" s="3430"/>
      <c r="E140" s="3156">
        <f t="shared" si="24"/>
        <v>0</v>
      </c>
      <c r="F140" s="3430"/>
      <c r="G140" s="3156">
        <f t="shared" si="25"/>
        <v>1</v>
      </c>
      <c r="H140" s="3430"/>
      <c r="I140" s="3156">
        <f t="shared" si="26"/>
        <v>1</v>
      </c>
      <c r="J140" s="3430"/>
      <c r="K140" s="3156">
        <f t="shared" si="27"/>
        <v>1</v>
      </c>
      <c r="L140" s="3430"/>
      <c r="M140" s="3156">
        <f t="shared" si="28"/>
        <v>1</v>
      </c>
      <c r="N140" s="3430"/>
      <c r="O140" s="3156">
        <f t="shared" si="29"/>
        <v>1</v>
      </c>
      <c r="P140" s="3430"/>
      <c r="Q140" s="3156">
        <f t="shared" si="30"/>
        <v>1</v>
      </c>
      <c r="R140" s="3921">
        <f t="shared" si="31"/>
        <v>0</v>
      </c>
      <c r="S140" s="4017">
        <f t="shared" si="32"/>
        <v>0</v>
      </c>
    </row>
    <row r="141" spans="1:19">
      <c r="A141" s="3157"/>
      <c r="B141" s="3428"/>
      <c r="C141" s="3156">
        <f t="shared" si="23"/>
        <v>1</v>
      </c>
      <c r="D141" s="3430"/>
      <c r="E141" s="3156">
        <f t="shared" si="24"/>
        <v>0</v>
      </c>
      <c r="F141" s="3430"/>
      <c r="G141" s="3156">
        <f t="shared" si="25"/>
        <v>1</v>
      </c>
      <c r="H141" s="3430"/>
      <c r="I141" s="3156">
        <f t="shared" si="26"/>
        <v>1</v>
      </c>
      <c r="J141" s="3430"/>
      <c r="K141" s="3156">
        <f t="shared" si="27"/>
        <v>1</v>
      </c>
      <c r="L141" s="3430"/>
      <c r="M141" s="3156">
        <f t="shared" si="28"/>
        <v>1</v>
      </c>
      <c r="N141" s="3430"/>
      <c r="O141" s="3156">
        <f t="shared" si="29"/>
        <v>1</v>
      </c>
      <c r="P141" s="3430"/>
      <c r="Q141" s="3156">
        <f t="shared" si="30"/>
        <v>1</v>
      </c>
      <c r="R141" s="3921">
        <f t="shared" si="31"/>
        <v>0</v>
      </c>
      <c r="S141" s="4017">
        <f t="shared" si="32"/>
        <v>0</v>
      </c>
    </row>
    <row r="142" spans="1:19">
      <c r="A142" s="3157"/>
      <c r="B142" s="3428"/>
      <c r="C142" s="3156">
        <f t="shared" si="23"/>
        <v>1</v>
      </c>
      <c r="D142" s="3430"/>
      <c r="E142" s="3156">
        <f t="shared" si="24"/>
        <v>0</v>
      </c>
      <c r="F142" s="3430"/>
      <c r="G142" s="3156">
        <f t="shared" si="25"/>
        <v>1</v>
      </c>
      <c r="H142" s="3430"/>
      <c r="I142" s="3156">
        <f t="shared" si="26"/>
        <v>1</v>
      </c>
      <c r="J142" s="3430"/>
      <c r="K142" s="3156">
        <f t="shared" si="27"/>
        <v>1</v>
      </c>
      <c r="L142" s="3430"/>
      <c r="M142" s="3156">
        <f t="shared" si="28"/>
        <v>1</v>
      </c>
      <c r="N142" s="3430"/>
      <c r="O142" s="3156">
        <f t="shared" si="29"/>
        <v>1</v>
      </c>
      <c r="P142" s="3430"/>
      <c r="Q142" s="3156">
        <f t="shared" si="30"/>
        <v>1</v>
      </c>
      <c r="R142" s="3921">
        <f t="shared" si="31"/>
        <v>0</v>
      </c>
      <c r="S142" s="4017">
        <f t="shared" si="32"/>
        <v>0</v>
      </c>
    </row>
    <row r="143" spans="1:19">
      <c r="A143" s="3157"/>
      <c r="B143" s="3428"/>
      <c r="C143" s="3156">
        <f t="shared" si="23"/>
        <v>1</v>
      </c>
      <c r="D143" s="3430"/>
      <c r="E143" s="3156">
        <f t="shared" si="24"/>
        <v>0</v>
      </c>
      <c r="F143" s="3430"/>
      <c r="G143" s="3156">
        <f t="shared" si="25"/>
        <v>1</v>
      </c>
      <c r="H143" s="3430"/>
      <c r="I143" s="3156">
        <f t="shared" si="26"/>
        <v>1</v>
      </c>
      <c r="J143" s="3430"/>
      <c r="K143" s="3156">
        <f t="shared" si="27"/>
        <v>1</v>
      </c>
      <c r="L143" s="3430"/>
      <c r="M143" s="3156">
        <f t="shared" si="28"/>
        <v>1</v>
      </c>
      <c r="N143" s="3430"/>
      <c r="O143" s="3156">
        <f t="shared" si="29"/>
        <v>1</v>
      </c>
      <c r="P143" s="3430"/>
      <c r="Q143" s="3156">
        <f t="shared" si="30"/>
        <v>1</v>
      </c>
      <c r="R143" s="3921">
        <f t="shared" si="31"/>
        <v>0</v>
      </c>
      <c r="S143" s="4017">
        <f t="shared" si="32"/>
        <v>0</v>
      </c>
    </row>
    <row r="144" spans="1:19">
      <c r="A144" s="3157"/>
      <c r="B144" s="3428"/>
      <c r="C144" s="3156">
        <f t="shared" si="23"/>
        <v>1</v>
      </c>
      <c r="D144" s="3430"/>
      <c r="E144" s="3156">
        <f t="shared" si="24"/>
        <v>0</v>
      </c>
      <c r="F144" s="3430"/>
      <c r="G144" s="3156">
        <f t="shared" si="25"/>
        <v>1</v>
      </c>
      <c r="H144" s="3430"/>
      <c r="I144" s="3156">
        <f t="shared" si="26"/>
        <v>1</v>
      </c>
      <c r="J144" s="3430"/>
      <c r="K144" s="3156">
        <f t="shared" si="27"/>
        <v>1</v>
      </c>
      <c r="L144" s="3430"/>
      <c r="M144" s="3156">
        <f t="shared" si="28"/>
        <v>1</v>
      </c>
      <c r="N144" s="3430"/>
      <c r="O144" s="3156">
        <f t="shared" si="29"/>
        <v>1</v>
      </c>
      <c r="P144" s="3430"/>
      <c r="Q144" s="3156">
        <f t="shared" si="30"/>
        <v>1</v>
      </c>
      <c r="R144" s="3921">
        <f t="shared" si="31"/>
        <v>0</v>
      </c>
      <c r="S144" s="4017">
        <f t="shared" si="32"/>
        <v>0</v>
      </c>
    </row>
    <row r="145" spans="1:19">
      <c r="A145" s="3157"/>
      <c r="B145" s="3428"/>
      <c r="C145" s="3156">
        <f t="shared" si="23"/>
        <v>1</v>
      </c>
      <c r="D145" s="3430"/>
      <c r="E145" s="3156">
        <f t="shared" si="24"/>
        <v>0</v>
      </c>
      <c r="F145" s="3430"/>
      <c r="G145" s="3156">
        <f t="shared" si="25"/>
        <v>1</v>
      </c>
      <c r="H145" s="3430"/>
      <c r="I145" s="3156">
        <f t="shared" si="26"/>
        <v>1</v>
      </c>
      <c r="J145" s="3430"/>
      <c r="K145" s="3156">
        <f t="shared" si="27"/>
        <v>1</v>
      </c>
      <c r="L145" s="3430"/>
      <c r="M145" s="3156">
        <f t="shared" si="28"/>
        <v>1</v>
      </c>
      <c r="N145" s="3430"/>
      <c r="O145" s="3156">
        <f t="shared" si="29"/>
        <v>1</v>
      </c>
      <c r="P145" s="3430"/>
      <c r="Q145" s="3156">
        <f t="shared" si="30"/>
        <v>1</v>
      </c>
      <c r="R145" s="3921">
        <f t="shared" si="31"/>
        <v>0</v>
      </c>
      <c r="S145" s="4017">
        <f t="shared" si="32"/>
        <v>0</v>
      </c>
    </row>
    <row r="146" spans="1:19">
      <c r="A146" s="3157"/>
      <c r="B146" s="3428"/>
      <c r="C146" s="3156">
        <f t="shared" si="23"/>
        <v>1</v>
      </c>
      <c r="D146" s="3430"/>
      <c r="E146" s="3156">
        <f t="shared" si="24"/>
        <v>0</v>
      </c>
      <c r="F146" s="3430"/>
      <c r="G146" s="3156">
        <f t="shared" si="25"/>
        <v>1</v>
      </c>
      <c r="H146" s="3430"/>
      <c r="I146" s="3156">
        <f t="shared" si="26"/>
        <v>1</v>
      </c>
      <c r="J146" s="3430"/>
      <c r="K146" s="3156">
        <f t="shared" si="27"/>
        <v>1</v>
      </c>
      <c r="L146" s="3430"/>
      <c r="M146" s="3156">
        <f t="shared" si="28"/>
        <v>1</v>
      </c>
      <c r="N146" s="3430"/>
      <c r="O146" s="3156">
        <f t="shared" si="29"/>
        <v>1</v>
      </c>
      <c r="P146" s="3430"/>
      <c r="Q146" s="3156">
        <f t="shared" si="30"/>
        <v>1</v>
      </c>
      <c r="R146" s="3921">
        <f t="shared" si="31"/>
        <v>0</v>
      </c>
      <c r="S146" s="4017">
        <f t="shared" si="32"/>
        <v>0</v>
      </c>
    </row>
    <row r="147" spans="1:19">
      <c r="A147" s="3157"/>
      <c r="B147" s="3428"/>
      <c r="C147" s="3156">
        <f t="shared" si="23"/>
        <v>1</v>
      </c>
      <c r="D147" s="3430"/>
      <c r="E147" s="3156">
        <f t="shared" si="24"/>
        <v>0</v>
      </c>
      <c r="F147" s="3430"/>
      <c r="G147" s="3156">
        <f t="shared" si="25"/>
        <v>1</v>
      </c>
      <c r="H147" s="3430"/>
      <c r="I147" s="3156">
        <f t="shared" si="26"/>
        <v>1</v>
      </c>
      <c r="J147" s="3430"/>
      <c r="K147" s="3156">
        <f t="shared" si="27"/>
        <v>1</v>
      </c>
      <c r="L147" s="3430"/>
      <c r="M147" s="3156">
        <f t="shared" si="28"/>
        <v>1</v>
      </c>
      <c r="N147" s="3430"/>
      <c r="O147" s="3156">
        <f t="shared" si="29"/>
        <v>1</v>
      </c>
      <c r="P147" s="3430"/>
      <c r="Q147" s="3156">
        <f t="shared" si="30"/>
        <v>1</v>
      </c>
      <c r="R147" s="3921">
        <f t="shared" si="31"/>
        <v>0</v>
      </c>
      <c r="S147" s="4017">
        <f t="shared" si="32"/>
        <v>0</v>
      </c>
    </row>
    <row r="148" spans="1:19">
      <c r="A148" s="3157"/>
      <c r="B148" s="3428"/>
      <c r="C148" s="3156">
        <f t="shared" si="23"/>
        <v>1</v>
      </c>
      <c r="D148" s="3430"/>
      <c r="E148" s="3156">
        <f t="shared" si="24"/>
        <v>0</v>
      </c>
      <c r="F148" s="3430"/>
      <c r="G148" s="3156">
        <f t="shared" si="25"/>
        <v>1</v>
      </c>
      <c r="H148" s="3430"/>
      <c r="I148" s="3156">
        <f t="shared" si="26"/>
        <v>1</v>
      </c>
      <c r="J148" s="3430"/>
      <c r="K148" s="3156">
        <f t="shared" si="27"/>
        <v>1</v>
      </c>
      <c r="L148" s="3430"/>
      <c r="M148" s="3156">
        <f t="shared" si="28"/>
        <v>1</v>
      </c>
      <c r="N148" s="3430"/>
      <c r="O148" s="3156">
        <f t="shared" si="29"/>
        <v>1</v>
      </c>
      <c r="P148" s="3430"/>
      <c r="Q148" s="3156">
        <f t="shared" si="30"/>
        <v>1</v>
      </c>
      <c r="R148" s="3921">
        <f t="shared" si="31"/>
        <v>0</v>
      </c>
      <c r="S148" s="4017">
        <f t="shared" si="32"/>
        <v>0</v>
      </c>
    </row>
    <row r="149" spans="1:19">
      <c r="A149" s="3157"/>
      <c r="B149" s="3428"/>
      <c r="C149" s="3156">
        <f t="shared" si="23"/>
        <v>1</v>
      </c>
      <c r="D149" s="3430"/>
      <c r="E149" s="3156">
        <f t="shared" si="24"/>
        <v>0</v>
      </c>
      <c r="F149" s="3430"/>
      <c r="G149" s="3156">
        <f t="shared" si="25"/>
        <v>1</v>
      </c>
      <c r="H149" s="3430"/>
      <c r="I149" s="3156">
        <f t="shared" si="26"/>
        <v>1</v>
      </c>
      <c r="J149" s="3430"/>
      <c r="K149" s="3156">
        <f t="shared" si="27"/>
        <v>1</v>
      </c>
      <c r="L149" s="3430"/>
      <c r="M149" s="3156">
        <f t="shared" si="28"/>
        <v>1</v>
      </c>
      <c r="N149" s="3430"/>
      <c r="O149" s="3156">
        <f t="shared" si="29"/>
        <v>1</v>
      </c>
      <c r="P149" s="3430"/>
      <c r="Q149" s="3156">
        <f t="shared" si="30"/>
        <v>1</v>
      </c>
      <c r="R149" s="3921">
        <f t="shared" si="31"/>
        <v>0</v>
      </c>
      <c r="S149" s="4017">
        <f t="shared" si="32"/>
        <v>0</v>
      </c>
    </row>
    <row r="150" spans="1:19">
      <c r="A150" s="3157"/>
      <c r="B150" s="3428"/>
      <c r="C150" s="3156">
        <f t="shared" si="23"/>
        <v>1</v>
      </c>
      <c r="D150" s="3430"/>
      <c r="E150" s="3156">
        <f t="shared" si="24"/>
        <v>0</v>
      </c>
      <c r="F150" s="3430"/>
      <c r="G150" s="3156">
        <f t="shared" si="25"/>
        <v>1</v>
      </c>
      <c r="H150" s="3430"/>
      <c r="I150" s="3156">
        <f t="shared" si="26"/>
        <v>1</v>
      </c>
      <c r="J150" s="3430"/>
      <c r="K150" s="3156">
        <f t="shared" si="27"/>
        <v>1</v>
      </c>
      <c r="L150" s="3430"/>
      <c r="M150" s="3156">
        <f t="shared" si="28"/>
        <v>1</v>
      </c>
      <c r="N150" s="3430"/>
      <c r="O150" s="3156">
        <f t="shared" si="29"/>
        <v>1</v>
      </c>
      <c r="P150" s="3430"/>
      <c r="Q150" s="3156">
        <f t="shared" si="30"/>
        <v>1</v>
      </c>
      <c r="R150" s="3921">
        <f t="shared" si="31"/>
        <v>0</v>
      </c>
      <c r="S150" s="4017">
        <f t="shared" si="32"/>
        <v>0</v>
      </c>
    </row>
    <row r="151" spans="1:19">
      <c r="A151" s="3157"/>
      <c r="B151" s="3428"/>
      <c r="C151" s="3156">
        <f t="shared" si="23"/>
        <v>1</v>
      </c>
      <c r="D151" s="3430"/>
      <c r="E151" s="3156">
        <f t="shared" si="24"/>
        <v>0</v>
      </c>
      <c r="F151" s="3430"/>
      <c r="G151" s="3156">
        <f t="shared" si="25"/>
        <v>1</v>
      </c>
      <c r="H151" s="3430"/>
      <c r="I151" s="3156">
        <f t="shared" si="26"/>
        <v>1</v>
      </c>
      <c r="J151" s="3430"/>
      <c r="K151" s="3156">
        <f t="shared" si="27"/>
        <v>1</v>
      </c>
      <c r="L151" s="3430"/>
      <c r="M151" s="3156">
        <f t="shared" si="28"/>
        <v>1</v>
      </c>
      <c r="N151" s="3430"/>
      <c r="O151" s="3156">
        <f t="shared" si="29"/>
        <v>1</v>
      </c>
      <c r="P151" s="3430"/>
      <c r="Q151" s="3156">
        <f t="shared" si="30"/>
        <v>1</v>
      </c>
      <c r="R151" s="3921">
        <f t="shared" si="31"/>
        <v>0</v>
      </c>
      <c r="S151" s="4017">
        <f t="shared" si="32"/>
        <v>0</v>
      </c>
    </row>
    <row r="152" spans="1:19">
      <c r="A152" s="3157"/>
      <c r="B152" s="3428"/>
      <c r="C152" s="3156">
        <f t="shared" si="23"/>
        <v>1</v>
      </c>
      <c r="D152" s="3430"/>
      <c r="E152" s="3156">
        <f t="shared" si="24"/>
        <v>0</v>
      </c>
      <c r="F152" s="3430"/>
      <c r="G152" s="3156">
        <f t="shared" si="25"/>
        <v>1</v>
      </c>
      <c r="H152" s="3430"/>
      <c r="I152" s="3156">
        <f t="shared" si="26"/>
        <v>1</v>
      </c>
      <c r="J152" s="3430"/>
      <c r="K152" s="3156">
        <f t="shared" si="27"/>
        <v>1</v>
      </c>
      <c r="L152" s="3430"/>
      <c r="M152" s="3156">
        <f t="shared" si="28"/>
        <v>1</v>
      </c>
      <c r="N152" s="3430"/>
      <c r="O152" s="3156">
        <f t="shared" si="29"/>
        <v>1</v>
      </c>
      <c r="P152" s="3430"/>
      <c r="Q152" s="3156">
        <f t="shared" si="30"/>
        <v>1</v>
      </c>
      <c r="R152" s="3921">
        <f t="shared" si="31"/>
        <v>0</v>
      </c>
      <c r="S152" s="4017">
        <f t="shared" si="32"/>
        <v>0</v>
      </c>
    </row>
    <row r="153" spans="1:19">
      <c r="A153" s="3157"/>
      <c r="B153" s="3428"/>
      <c r="C153" s="3156">
        <f t="shared" si="23"/>
        <v>1</v>
      </c>
      <c r="D153" s="3430"/>
      <c r="E153" s="3156">
        <f t="shared" si="24"/>
        <v>0</v>
      </c>
      <c r="F153" s="3430"/>
      <c r="G153" s="3156">
        <f t="shared" si="25"/>
        <v>1</v>
      </c>
      <c r="H153" s="3430"/>
      <c r="I153" s="3156">
        <f t="shared" si="26"/>
        <v>1</v>
      </c>
      <c r="J153" s="3430"/>
      <c r="K153" s="3156">
        <f t="shared" si="27"/>
        <v>1</v>
      </c>
      <c r="L153" s="3430"/>
      <c r="M153" s="3156">
        <f t="shared" si="28"/>
        <v>1</v>
      </c>
      <c r="N153" s="3430"/>
      <c r="O153" s="3156">
        <f t="shared" si="29"/>
        <v>1</v>
      </c>
      <c r="P153" s="3430"/>
      <c r="Q153" s="3156">
        <f t="shared" si="30"/>
        <v>1</v>
      </c>
      <c r="R153" s="3921">
        <f t="shared" si="31"/>
        <v>0</v>
      </c>
      <c r="S153" s="4017">
        <f t="shared" si="32"/>
        <v>0</v>
      </c>
    </row>
    <row r="154" spans="1:19">
      <c r="A154" s="3157"/>
      <c r="B154" s="3428"/>
      <c r="C154" s="3156">
        <f t="shared" ref="C154:C217" si="33">IF(B154="",1,(LOOKUP(B154,$3:$3,$4:$4)-LOOKUP($B$24,$3:$3,$4:$4)+100)/100)</f>
        <v>1</v>
      </c>
      <c r="D154" s="3430"/>
      <c r="E154" s="3156">
        <f t="shared" ref="E154:E217" si="34">(SUMIF($5:$5,D154,$6:$6)-SUMIF($5:$5,$D$24,$6:$6)+100)/100</f>
        <v>0</v>
      </c>
      <c r="F154" s="3430"/>
      <c r="G154" s="3156">
        <f t="shared" ref="G154:G217" si="35">(SUMIF($7:$7,F154,$8:$8)-SUMIF($7:$7,$F$24,$8:$8)+100)/100</f>
        <v>1</v>
      </c>
      <c r="H154" s="3430"/>
      <c r="I154" s="3156">
        <f t="shared" ref="I154:I217" si="36">(SUMIF($9:$9,H154,$10:$10)-SUMIF($9:$9,$H$24,$10:$10)+100)/100</f>
        <v>1</v>
      </c>
      <c r="J154" s="3430"/>
      <c r="K154" s="3156">
        <f t="shared" ref="K154:K217" si="37">(SUMIF($11:$11,J154,$12:$12)-SUMIF($11:$11,$J$24,$12:$12)+100)/100</f>
        <v>1</v>
      </c>
      <c r="L154" s="3430"/>
      <c r="M154" s="3156">
        <f t="shared" ref="M154:M217" si="38">(SUMIF($13:$13,L154,$14:$14)-SUMIF($13:$13,$L$24,$14:$14)+100)/100</f>
        <v>1</v>
      </c>
      <c r="N154" s="3430"/>
      <c r="O154" s="3156">
        <f t="shared" ref="O154:O217" si="39">(SUMIF($15:$15,N154,$16:$16)-SUMIF($15:$15,$N$24,$16:$16)+100)/100</f>
        <v>1</v>
      </c>
      <c r="P154" s="3430"/>
      <c r="Q154" s="3156">
        <f t="shared" ref="Q154:Q217" si="40">(SUMIF($17:$17,P154,$18:$18)-SUMIF($17:$17,$P$24,$18:$18)+100)/100</f>
        <v>1</v>
      </c>
      <c r="R154" s="3921">
        <f t="shared" ref="R154:R217" si="41">IF(B154="",0,ROUND($R$24*C154*E154*G154*I154*K154*M154*O154*Q154,0))</f>
        <v>0</v>
      </c>
      <c r="S154" s="4017">
        <f t="shared" si="32"/>
        <v>0</v>
      </c>
    </row>
    <row r="155" spans="1:19">
      <c r="A155" s="3157"/>
      <c r="B155" s="3428"/>
      <c r="C155" s="3156">
        <f t="shared" si="33"/>
        <v>1</v>
      </c>
      <c r="D155" s="3430"/>
      <c r="E155" s="3156">
        <f t="shared" si="34"/>
        <v>0</v>
      </c>
      <c r="F155" s="3430"/>
      <c r="G155" s="3156">
        <f t="shared" si="35"/>
        <v>1</v>
      </c>
      <c r="H155" s="3430"/>
      <c r="I155" s="3156">
        <f t="shared" si="36"/>
        <v>1</v>
      </c>
      <c r="J155" s="3430"/>
      <c r="K155" s="3156">
        <f t="shared" si="37"/>
        <v>1</v>
      </c>
      <c r="L155" s="3430"/>
      <c r="M155" s="3156">
        <f t="shared" si="38"/>
        <v>1</v>
      </c>
      <c r="N155" s="3430"/>
      <c r="O155" s="3156">
        <f t="shared" si="39"/>
        <v>1</v>
      </c>
      <c r="P155" s="3430"/>
      <c r="Q155" s="3156">
        <f t="shared" si="40"/>
        <v>1</v>
      </c>
      <c r="R155" s="3921">
        <f t="shared" si="41"/>
        <v>0</v>
      </c>
      <c r="S155" s="4017">
        <f t="shared" si="32"/>
        <v>0</v>
      </c>
    </row>
    <row r="156" spans="1:19">
      <c r="A156" s="3157"/>
      <c r="B156" s="3428"/>
      <c r="C156" s="3156">
        <f t="shared" si="33"/>
        <v>1</v>
      </c>
      <c r="D156" s="3430"/>
      <c r="E156" s="3156">
        <f t="shared" si="34"/>
        <v>0</v>
      </c>
      <c r="F156" s="3430"/>
      <c r="G156" s="3156">
        <f t="shared" si="35"/>
        <v>1</v>
      </c>
      <c r="H156" s="3430"/>
      <c r="I156" s="3156">
        <f t="shared" si="36"/>
        <v>1</v>
      </c>
      <c r="J156" s="3430"/>
      <c r="K156" s="3156">
        <f t="shared" si="37"/>
        <v>1</v>
      </c>
      <c r="L156" s="3430"/>
      <c r="M156" s="3156">
        <f t="shared" si="38"/>
        <v>1</v>
      </c>
      <c r="N156" s="3430"/>
      <c r="O156" s="3156">
        <f t="shared" si="39"/>
        <v>1</v>
      </c>
      <c r="P156" s="3430"/>
      <c r="Q156" s="3156">
        <f t="shared" si="40"/>
        <v>1</v>
      </c>
      <c r="R156" s="3921">
        <f t="shared" si="41"/>
        <v>0</v>
      </c>
      <c r="S156" s="4017">
        <f t="shared" si="32"/>
        <v>0</v>
      </c>
    </row>
    <row r="157" spans="1:19">
      <c r="A157" s="3157"/>
      <c r="B157" s="3428"/>
      <c r="C157" s="3156">
        <f t="shared" si="33"/>
        <v>1</v>
      </c>
      <c r="D157" s="3430"/>
      <c r="E157" s="3156">
        <f t="shared" si="34"/>
        <v>0</v>
      </c>
      <c r="F157" s="3430"/>
      <c r="G157" s="3156">
        <f t="shared" si="35"/>
        <v>1</v>
      </c>
      <c r="H157" s="3430"/>
      <c r="I157" s="3156">
        <f t="shared" si="36"/>
        <v>1</v>
      </c>
      <c r="J157" s="3430"/>
      <c r="K157" s="3156">
        <f t="shared" si="37"/>
        <v>1</v>
      </c>
      <c r="L157" s="3430"/>
      <c r="M157" s="3156">
        <f t="shared" si="38"/>
        <v>1</v>
      </c>
      <c r="N157" s="3430"/>
      <c r="O157" s="3156">
        <f t="shared" si="39"/>
        <v>1</v>
      </c>
      <c r="P157" s="3430"/>
      <c r="Q157" s="3156">
        <f t="shared" si="40"/>
        <v>1</v>
      </c>
      <c r="R157" s="3921">
        <f t="shared" si="41"/>
        <v>0</v>
      </c>
      <c r="S157" s="4017">
        <f t="shared" si="32"/>
        <v>0</v>
      </c>
    </row>
    <row r="158" spans="1:19">
      <c r="A158" s="3157"/>
      <c r="B158" s="3428"/>
      <c r="C158" s="3156">
        <f t="shared" si="33"/>
        <v>1</v>
      </c>
      <c r="D158" s="3430"/>
      <c r="E158" s="3156">
        <f t="shared" si="34"/>
        <v>0</v>
      </c>
      <c r="F158" s="3430"/>
      <c r="G158" s="3156">
        <f t="shared" si="35"/>
        <v>1</v>
      </c>
      <c r="H158" s="3430"/>
      <c r="I158" s="3156">
        <f t="shared" si="36"/>
        <v>1</v>
      </c>
      <c r="J158" s="3430"/>
      <c r="K158" s="3156">
        <f t="shared" si="37"/>
        <v>1</v>
      </c>
      <c r="L158" s="3430"/>
      <c r="M158" s="3156">
        <f t="shared" si="38"/>
        <v>1</v>
      </c>
      <c r="N158" s="3430"/>
      <c r="O158" s="3156">
        <f t="shared" si="39"/>
        <v>1</v>
      </c>
      <c r="P158" s="3430"/>
      <c r="Q158" s="3156">
        <f t="shared" si="40"/>
        <v>1</v>
      </c>
      <c r="R158" s="3921">
        <f t="shared" si="41"/>
        <v>0</v>
      </c>
      <c r="S158" s="4017">
        <f t="shared" si="32"/>
        <v>0</v>
      </c>
    </row>
    <row r="159" spans="1:19">
      <c r="A159" s="3157"/>
      <c r="B159" s="3428"/>
      <c r="C159" s="3156">
        <f t="shared" si="33"/>
        <v>1</v>
      </c>
      <c r="D159" s="3430"/>
      <c r="E159" s="3156">
        <f t="shared" si="34"/>
        <v>0</v>
      </c>
      <c r="F159" s="3430"/>
      <c r="G159" s="3156">
        <f t="shared" si="35"/>
        <v>1</v>
      </c>
      <c r="H159" s="3430"/>
      <c r="I159" s="3156">
        <f t="shared" si="36"/>
        <v>1</v>
      </c>
      <c r="J159" s="3430"/>
      <c r="K159" s="3156">
        <f t="shared" si="37"/>
        <v>1</v>
      </c>
      <c r="L159" s="3430"/>
      <c r="M159" s="3156">
        <f t="shared" si="38"/>
        <v>1</v>
      </c>
      <c r="N159" s="3430"/>
      <c r="O159" s="3156">
        <f t="shared" si="39"/>
        <v>1</v>
      </c>
      <c r="P159" s="3430"/>
      <c r="Q159" s="3156">
        <f t="shared" si="40"/>
        <v>1</v>
      </c>
      <c r="R159" s="3921">
        <f t="shared" si="41"/>
        <v>0</v>
      </c>
      <c r="S159" s="4017">
        <f t="shared" si="32"/>
        <v>0</v>
      </c>
    </row>
    <row r="160" spans="1:19">
      <c r="A160" s="3157"/>
      <c r="B160" s="3428"/>
      <c r="C160" s="3156">
        <f t="shared" si="33"/>
        <v>1</v>
      </c>
      <c r="D160" s="3430"/>
      <c r="E160" s="3156">
        <f t="shared" si="34"/>
        <v>0</v>
      </c>
      <c r="F160" s="3430"/>
      <c r="G160" s="3156">
        <f t="shared" si="35"/>
        <v>1</v>
      </c>
      <c r="H160" s="3430"/>
      <c r="I160" s="3156">
        <f t="shared" si="36"/>
        <v>1</v>
      </c>
      <c r="J160" s="3430"/>
      <c r="K160" s="3156">
        <f t="shared" si="37"/>
        <v>1</v>
      </c>
      <c r="L160" s="3430"/>
      <c r="M160" s="3156">
        <f t="shared" si="38"/>
        <v>1</v>
      </c>
      <c r="N160" s="3430"/>
      <c r="O160" s="3156">
        <f t="shared" si="39"/>
        <v>1</v>
      </c>
      <c r="P160" s="3430"/>
      <c r="Q160" s="3156">
        <f t="shared" si="40"/>
        <v>1</v>
      </c>
      <c r="R160" s="3921">
        <f t="shared" si="41"/>
        <v>0</v>
      </c>
      <c r="S160" s="4017">
        <f t="shared" si="32"/>
        <v>0</v>
      </c>
    </row>
    <row r="161" spans="1:19">
      <c r="A161" s="3157"/>
      <c r="B161" s="3428"/>
      <c r="C161" s="3156">
        <f t="shared" si="33"/>
        <v>1</v>
      </c>
      <c r="D161" s="3430"/>
      <c r="E161" s="3156">
        <f t="shared" si="34"/>
        <v>0</v>
      </c>
      <c r="F161" s="3430"/>
      <c r="G161" s="3156">
        <f t="shared" si="35"/>
        <v>1</v>
      </c>
      <c r="H161" s="3430"/>
      <c r="I161" s="3156">
        <f t="shared" si="36"/>
        <v>1</v>
      </c>
      <c r="J161" s="3430"/>
      <c r="K161" s="3156">
        <f t="shared" si="37"/>
        <v>1</v>
      </c>
      <c r="L161" s="3430"/>
      <c r="M161" s="3156">
        <f t="shared" si="38"/>
        <v>1</v>
      </c>
      <c r="N161" s="3430"/>
      <c r="O161" s="3156">
        <f t="shared" si="39"/>
        <v>1</v>
      </c>
      <c r="P161" s="3430"/>
      <c r="Q161" s="3156">
        <f t="shared" si="40"/>
        <v>1</v>
      </c>
      <c r="R161" s="3921">
        <f t="shared" si="41"/>
        <v>0</v>
      </c>
      <c r="S161" s="4017">
        <f t="shared" si="32"/>
        <v>0</v>
      </c>
    </row>
    <row r="162" spans="1:19">
      <c r="A162" s="3157"/>
      <c r="B162" s="3428"/>
      <c r="C162" s="3156">
        <f t="shared" si="33"/>
        <v>1</v>
      </c>
      <c r="D162" s="3430"/>
      <c r="E162" s="3156">
        <f t="shared" si="34"/>
        <v>0</v>
      </c>
      <c r="F162" s="3430"/>
      <c r="G162" s="3156">
        <f t="shared" si="35"/>
        <v>1</v>
      </c>
      <c r="H162" s="3430"/>
      <c r="I162" s="3156">
        <f t="shared" si="36"/>
        <v>1</v>
      </c>
      <c r="J162" s="3430"/>
      <c r="K162" s="3156">
        <f t="shared" si="37"/>
        <v>1</v>
      </c>
      <c r="L162" s="3430"/>
      <c r="M162" s="3156">
        <f t="shared" si="38"/>
        <v>1</v>
      </c>
      <c r="N162" s="3430"/>
      <c r="O162" s="3156">
        <f t="shared" si="39"/>
        <v>1</v>
      </c>
      <c r="P162" s="3430"/>
      <c r="Q162" s="3156">
        <f t="shared" si="40"/>
        <v>1</v>
      </c>
      <c r="R162" s="3921">
        <f t="shared" si="41"/>
        <v>0</v>
      </c>
      <c r="S162" s="4017">
        <f t="shared" si="32"/>
        <v>0</v>
      </c>
    </row>
    <row r="163" spans="1:19">
      <c r="A163" s="3157"/>
      <c r="B163" s="3428"/>
      <c r="C163" s="3156">
        <f t="shared" si="33"/>
        <v>1</v>
      </c>
      <c r="D163" s="3430"/>
      <c r="E163" s="3156">
        <f t="shared" si="34"/>
        <v>0</v>
      </c>
      <c r="F163" s="3430"/>
      <c r="G163" s="3156">
        <f t="shared" si="35"/>
        <v>1</v>
      </c>
      <c r="H163" s="3430"/>
      <c r="I163" s="3156">
        <f t="shared" si="36"/>
        <v>1</v>
      </c>
      <c r="J163" s="3430"/>
      <c r="K163" s="3156">
        <f t="shared" si="37"/>
        <v>1</v>
      </c>
      <c r="L163" s="3430"/>
      <c r="M163" s="3156">
        <f t="shared" si="38"/>
        <v>1</v>
      </c>
      <c r="N163" s="3430"/>
      <c r="O163" s="3156">
        <f t="shared" si="39"/>
        <v>1</v>
      </c>
      <c r="P163" s="3430"/>
      <c r="Q163" s="3156">
        <f t="shared" si="40"/>
        <v>1</v>
      </c>
      <c r="R163" s="3921">
        <f t="shared" si="41"/>
        <v>0</v>
      </c>
      <c r="S163" s="4017">
        <f t="shared" si="32"/>
        <v>0</v>
      </c>
    </row>
    <row r="164" spans="1:19">
      <c r="A164" s="3157"/>
      <c r="B164" s="3428"/>
      <c r="C164" s="3156">
        <f t="shared" si="33"/>
        <v>1</v>
      </c>
      <c r="D164" s="3430"/>
      <c r="E164" s="3156">
        <f t="shared" si="34"/>
        <v>0</v>
      </c>
      <c r="F164" s="3430"/>
      <c r="G164" s="3156">
        <f t="shared" si="35"/>
        <v>1</v>
      </c>
      <c r="H164" s="3430"/>
      <c r="I164" s="3156">
        <f t="shared" si="36"/>
        <v>1</v>
      </c>
      <c r="J164" s="3430"/>
      <c r="K164" s="3156">
        <f t="shared" si="37"/>
        <v>1</v>
      </c>
      <c r="L164" s="3430"/>
      <c r="M164" s="3156">
        <f t="shared" si="38"/>
        <v>1</v>
      </c>
      <c r="N164" s="3430"/>
      <c r="O164" s="3156">
        <f t="shared" si="39"/>
        <v>1</v>
      </c>
      <c r="P164" s="3430"/>
      <c r="Q164" s="3156">
        <f t="shared" si="40"/>
        <v>1</v>
      </c>
      <c r="R164" s="3921">
        <f t="shared" si="41"/>
        <v>0</v>
      </c>
      <c r="S164" s="4017">
        <f t="shared" si="32"/>
        <v>0</v>
      </c>
    </row>
    <row r="165" spans="1:19">
      <c r="A165" s="3157"/>
      <c r="B165" s="3428"/>
      <c r="C165" s="3156">
        <f t="shared" si="33"/>
        <v>1</v>
      </c>
      <c r="D165" s="3430"/>
      <c r="E165" s="3156">
        <f t="shared" si="34"/>
        <v>0</v>
      </c>
      <c r="F165" s="3430"/>
      <c r="G165" s="3156">
        <f t="shared" si="35"/>
        <v>1</v>
      </c>
      <c r="H165" s="3430"/>
      <c r="I165" s="3156">
        <f t="shared" si="36"/>
        <v>1</v>
      </c>
      <c r="J165" s="3430"/>
      <c r="K165" s="3156">
        <f t="shared" si="37"/>
        <v>1</v>
      </c>
      <c r="L165" s="3430"/>
      <c r="M165" s="3156">
        <f t="shared" si="38"/>
        <v>1</v>
      </c>
      <c r="N165" s="3430"/>
      <c r="O165" s="3156">
        <f t="shared" si="39"/>
        <v>1</v>
      </c>
      <c r="P165" s="3430"/>
      <c r="Q165" s="3156">
        <f t="shared" si="40"/>
        <v>1</v>
      </c>
      <c r="R165" s="3921">
        <f t="shared" si="41"/>
        <v>0</v>
      </c>
      <c r="S165" s="4017">
        <f t="shared" si="32"/>
        <v>0</v>
      </c>
    </row>
    <row r="166" spans="1:19">
      <c r="A166" s="3157"/>
      <c r="B166" s="3428"/>
      <c r="C166" s="3156">
        <f t="shared" si="33"/>
        <v>1</v>
      </c>
      <c r="D166" s="3430"/>
      <c r="E166" s="3156">
        <f t="shared" si="34"/>
        <v>0</v>
      </c>
      <c r="F166" s="3430"/>
      <c r="G166" s="3156">
        <f t="shared" si="35"/>
        <v>1</v>
      </c>
      <c r="H166" s="3430"/>
      <c r="I166" s="3156">
        <f t="shared" si="36"/>
        <v>1</v>
      </c>
      <c r="J166" s="3430"/>
      <c r="K166" s="3156">
        <f t="shared" si="37"/>
        <v>1</v>
      </c>
      <c r="L166" s="3430"/>
      <c r="M166" s="3156">
        <f t="shared" si="38"/>
        <v>1</v>
      </c>
      <c r="N166" s="3430"/>
      <c r="O166" s="3156">
        <f t="shared" si="39"/>
        <v>1</v>
      </c>
      <c r="P166" s="3430"/>
      <c r="Q166" s="3156">
        <f t="shared" si="40"/>
        <v>1</v>
      </c>
      <c r="R166" s="3921">
        <f t="shared" si="41"/>
        <v>0</v>
      </c>
      <c r="S166" s="4017">
        <f t="shared" si="32"/>
        <v>0</v>
      </c>
    </row>
    <row r="167" spans="1:19">
      <c r="A167" s="3157"/>
      <c r="B167" s="3428"/>
      <c r="C167" s="3156">
        <f t="shared" si="33"/>
        <v>1</v>
      </c>
      <c r="D167" s="3430"/>
      <c r="E167" s="3156">
        <f t="shared" si="34"/>
        <v>0</v>
      </c>
      <c r="F167" s="3430"/>
      <c r="G167" s="3156">
        <f t="shared" si="35"/>
        <v>1</v>
      </c>
      <c r="H167" s="3430"/>
      <c r="I167" s="3156">
        <f t="shared" si="36"/>
        <v>1</v>
      </c>
      <c r="J167" s="3430"/>
      <c r="K167" s="3156">
        <f t="shared" si="37"/>
        <v>1</v>
      </c>
      <c r="L167" s="3430"/>
      <c r="M167" s="3156">
        <f t="shared" si="38"/>
        <v>1</v>
      </c>
      <c r="N167" s="3430"/>
      <c r="O167" s="3156">
        <f t="shared" si="39"/>
        <v>1</v>
      </c>
      <c r="P167" s="3430"/>
      <c r="Q167" s="3156">
        <f t="shared" si="40"/>
        <v>1</v>
      </c>
      <c r="R167" s="3921">
        <f t="shared" si="41"/>
        <v>0</v>
      </c>
      <c r="S167" s="4017">
        <f t="shared" si="32"/>
        <v>0</v>
      </c>
    </row>
    <row r="168" spans="1:19">
      <c r="A168" s="3157"/>
      <c r="B168" s="3428"/>
      <c r="C168" s="3156">
        <f t="shared" si="33"/>
        <v>1</v>
      </c>
      <c r="D168" s="3430"/>
      <c r="E168" s="3156">
        <f t="shared" si="34"/>
        <v>0</v>
      </c>
      <c r="F168" s="3430"/>
      <c r="G168" s="3156">
        <f t="shared" si="35"/>
        <v>1</v>
      </c>
      <c r="H168" s="3430"/>
      <c r="I168" s="3156">
        <f t="shared" si="36"/>
        <v>1</v>
      </c>
      <c r="J168" s="3430"/>
      <c r="K168" s="3156">
        <f t="shared" si="37"/>
        <v>1</v>
      </c>
      <c r="L168" s="3430"/>
      <c r="M168" s="3156">
        <f t="shared" si="38"/>
        <v>1</v>
      </c>
      <c r="N168" s="3430"/>
      <c r="O168" s="3156">
        <f t="shared" si="39"/>
        <v>1</v>
      </c>
      <c r="P168" s="3430"/>
      <c r="Q168" s="3156">
        <f t="shared" si="40"/>
        <v>1</v>
      </c>
      <c r="R168" s="3921">
        <f t="shared" si="41"/>
        <v>0</v>
      </c>
      <c r="S168" s="4017">
        <f t="shared" si="32"/>
        <v>0</v>
      </c>
    </row>
    <row r="169" spans="1:19">
      <c r="A169" s="3157"/>
      <c r="B169" s="3428"/>
      <c r="C169" s="3156">
        <f t="shared" si="33"/>
        <v>1</v>
      </c>
      <c r="D169" s="3430"/>
      <c r="E169" s="3156">
        <f t="shared" si="34"/>
        <v>0</v>
      </c>
      <c r="F169" s="3430"/>
      <c r="G169" s="3156">
        <f t="shared" si="35"/>
        <v>1</v>
      </c>
      <c r="H169" s="3430"/>
      <c r="I169" s="3156">
        <f t="shared" si="36"/>
        <v>1</v>
      </c>
      <c r="J169" s="3430"/>
      <c r="K169" s="3156">
        <f t="shared" si="37"/>
        <v>1</v>
      </c>
      <c r="L169" s="3430"/>
      <c r="M169" s="3156">
        <f t="shared" si="38"/>
        <v>1</v>
      </c>
      <c r="N169" s="3430"/>
      <c r="O169" s="3156">
        <f t="shared" si="39"/>
        <v>1</v>
      </c>
      <c r="P169" s="3430"/>
      <c r="Q169" s="3156">
        <f t="shared" si="40"/>
        <v>1</v>
      </c>
      <c r="R169" s="3921">
        <f t="shared" si="41"/>
        <v>0</v>
      </c>
      <c r="S169" s="4017">
        <f t="shared" si="32"/>
        <v>0</v>
      </c>
    </row>
    <row r="170" spans="1:19">
      <c r="A170" s="3157"/>
      <c r="B170" s="3428"/>
      <c r="C170" s="3156">
        <f t="shared" si="33"/>
        <v>1</v>
      </c>
      <c r="D170" s="3430"/>
      <c r="E170" s="3156">
        <f t="shared" si="34"/>
        <v>0</v>
      </c>
      <c r="F170" s="3430"/>
      <c r="G170" s="3156">
        <f t="shared" si="35"/>
        <v>1</v>
      </c>
      <c r="H170" s="3430"/>
      <c r="I170" s="3156">
        <f t="shared" si="36"/>
        <v>1</v>
      </c>
      <c r="J170" s="3430"/>
      <c r="K170" s="3156">
        <f t="shared" si="37"/>
        <v>1</v>
      </c>
      <c r="L170" s="3430"/>
      <c r="M170" s="3156">
        <f t="shared" si="38"/>
        <v>1</v>
      </c>
      <c r="N170" s="3430"/>
      <c r="O170" s="3156">
        <f t="shared" si="39"/>
        <v>1</v>
      </c>
      <c r="P170" s="3430"/>
      <c r="Q170" s="3156">
        <f t="shared" si="40"/>
        <v>1</v>
      </c>
      <c r="R170" s="3921">
        <f t="shared" si="41"/>
        <v>0</v>
      </c>
      <c r="S170" s="4017">
        <f t="shared" si="32"/>
        <v>0</v>
      </c>
    </row>
    <row r="171" spans="1:19">
      <c r="A171" s="3157"/>
      <c r="B171" s="3428"/>
      <c r="C171" s="3156">
        <f t="shared" si="33"/>
        <v>1</v>
      </c>
      <c r="D171" s="3430"/>
      <c r="E171" s="3156">
        <f t="shared" si="34"/>
        <v>0</v>
      </c>
      <c r="F171" s="3430"/>
      <c r="G171" s="3156">
        <f t="shared" si="35"/>
        <v>1</v>
      </c>
      <c r="H171" s="3430"/>
      <c r="I171" s="3156">
        <f t="shared" si="36"/>
        <v>1</v>
      </c>
      <c r="J171" s="3430"/>
      <c r="K171" s="3156">
        <f t="shared" si="37"/>
        <v>1</v>
      </c>
      <c r="L171" s="3430"/>
      <c r="M171" s="3156">
        <f t="shared" si="38"/>
        <v>1</v>
      </c>
      <c r="N171" s="3430"/>
      <c r="O171" s="3156">
        <f t="shared" si="39"/>
        <v>1</v>
      </c>
      <c r="P171" s="3430"/>
      <c r="Q171" s="3156">
        <f t="shared" si="40"/>
        <v>1</v>
      </c>
      <c r="R171" s="3921">
        <f t="shared" si="41"/>
        <v>0</v>
      </c>
      <c r="S171" s="4017">
        <f t="shared" si="32"/>
        <v>0</v>
      </c>
    </row>
    <row r="172" spans="1:19">
      <c r="A172" s="3157"/>
      <c r="B172" s="3428"/>
      <c r="C172" s="3156">
        <f t="shared" si="33"/>
        <v>1</v>
      </c>
      <c r="D172" s="3430"/>
      <c r="E172" s="3156">
        <f t="shared" si="34"/>
        <v>0</v>
      </c>
      <c r="F172" s="3430"/>
      <c r="G172" s="3156">
        <f t="shared" si="35"/>
        <v>1</v>
      </c>
      <c r="H172" s="3430"/>
      <c r="I172" s="3156">
        <f t="shared" si="36"/>
        <v>1</v>
      </c>
      <c r="J172" s="3430"/>
      <c r="K172" s="3156">
        <f t="shared" si="37"/>
        <v>1</v>
      </c>
      <c r="L172" s="3430"/>
      <c r="M172" s="3156">
        <f t="shared" si="38"/>
        <v>1</v>
      </c>
      <c r="N172" s="3430"/>
      <c r="O172" s="3156">
        <f t="shared" si="39"/>
        <v>1</v>
      </c>
      <c r="P172" s="3430"/>
      <c r="Q172" s="3156">
        <f t="shared" si="40"/>
        <v>1</v>
      </c>
      <c r="R172" s="3921">
        <f t="shared" si="41"/>
        <v>0</v>
      </c>
      <c r="S172" s="4017">
        <f t="shared" si="32"/>
        <v>0</v>
      </c>
    </row>
    <row r="173" spans="1:19">
      <c r="A173" s="3157"/>
      <c r="B173" s="3428"/>
      <c r="C173" s="3156">
        <f t="shared" si="33"/>
        <v>1</v>
      </c>
      <c r="D173" s="3430"/>
      <c r="E173" s="3156">
        <f t="shared" si="34"/>
        <v>0</v>
      </c>
      <c r="F173" s="3430"/>
      <c r="G173" s="3156">
        <f t="shared" si="35"/>
        <v>1</v>
      </c>
      <c r="H173" s="3430"/>
      <c r="I173" s="3156">
        <f t="shared" si="36"/>
        <v>1</v>
      </c>
      <c r="J173" s="3430"/>
      <c r="K173" s="3156">
        <f t="shared" si="37"/>
        <v>1</v>
      </c>
      <c r="L173" s="3430"/>
      <c r="M173" s="3156">
        <f t="shared" si="38"/>
        <v>1</v>
      </c>
      <c r="N173" s="3430"/>
      <c r="O173" s="3156">
        <f t="shared" si="39"/>
        <v>1</v>
      </c>
      <c r="P173" s="3430"/>
      <c r="Q173" s="3156">
        <f t="shared" si="40"/>
        <v>1</v>
      </c>
      <c r="R173" s="3921">
        <f t="shared" si="41"/>
        <v>0</v>
      </c>
      <c r="S173" s="4017">
        <f t="shared" si="32"/>
        <v>0</v>
      </c>
    </row>
    <row r="174" spans="1:19">
      <c r="A174" s="3157"/>
      <c r="B174" s="3428"/>
      <c r="C174" s="3156">
        <f t="shared" si="33"/>
        <v>1</v>
      </c>
      <c r="D174" s="3430"/>
      <c r="E174" s="3156">
        <f t="shared" si="34"/>
        <v>0</v>
      </c>
      <c r="F174" s="3430"/>
      <c r="G174" s="3156">
        <f t="shared" si="35"/>
        <v>1</v>
      </c>
      <c r="H174" s="3430"/>
      <c r="I174" s="3156">
        <f t="shared" si="36"/>
        <v>1</v>
      </c>
      <c r="J174" s="3430"/>
      <c r="K174" s="3156">
        <f t="shared" si="37"/>
        <v>1</v>
      </c>
      <c r="L174" s="3430"/>
      <c r="M174" s="3156">
        <f t="shared" si="38"/>
        <v>1</v>
      </c>
      <c r="N174" s="3430"/>
      <c r="O174" s="3156">
        <f t="shared" si="39"/>
        <v>1</v>
      </c>
      <c r="P174" s="3430"/>
      <c r="Q174" s="3156">
        <f t="shared" si="40"/>
        <v>1</v>
      </c>
      <c r="R174" s="3921">
        <f t="shared" si="41"/>
        <v>0</v>
      </c>
      <c r="S174" s="4017">
        <f t="shared" si="32"/>
        <v>0</v>
      </c>
    </row>
    <row r="175" spans="1:19">
      <c r="A175" s="3157"/>
      <c r="B175" s="3428"/>
      <c r="C175" s="3156">
        <f t="shared" si="33"/>
        <v>1</v>
      </c>
      <c r="D175" s="3430"/>
      <c r="E175" s="3156">
        <f t="shared" si="34"/>
        <v>0</v>
      </c>
      <c r="F175" s="3430"/>
      <c r="G175" s="3156">
        <f t="shared" si="35"/>
        <v>1</v>
      </c>
      <c r="H175" s="3430"/>
      <c r="I175" s="3156">
        <f t="shared" si="36"/>
        <v>1</v>
      </c>
      <c r="J175" s="3430"/>
      <c r="K175" s="3156">
        <f t="shared" si="37"/>
        <v>1</v>
      </c>
      <c r="L175" s="3430"/>
      <c r="M175" s="3156">
        <f t="shared" si="38"/>
        <v>1</v>
      </c>
      <c r="N175" s="3430"/>
      <c r="O175" s="3156">
        <f t="shared" si="39"/>
        <v>1</v>
      </c>
      <c r="P175" s="3430"/>
      <c r="Q175" s="3156">
        <f t="shared" si="40"/>
        <v>1</v>
      </c>
      <c r="R175" s="3921">
        <f t="shared" si="41"/>
        <v>0</v>
      </c>
      <c r="S175" s="4017">
        <f t="shared" si="32"/>
        <v>0</v>
      </c>
    </row>
    <row r="176" spans="1:19">
      <c r="A176" s="3157"/>
      <c r="B176" s="3428"/>
      <c r="C176" s="3156">
        <f t="shared" si="33"/>
        <v>1</v>
      </c>
      <c r="D176" s="3430"/>
      <c r="E176" s="3156">
        <f t="shared" si="34"/>
        <v>0</v>
      </c>
      <c r="F176" s="3430"/>
      <c r="G176" s="3156">
        <f t="shared" si="35"/>
        <v>1</v>
      </c>
      <c r="H176" s="3430"/>
      <c r="I176" s="3156">
        <f t="shared" si="36"/>
        <v>1</v>
      </c>
      <c r="J176" s="3430"/>
      <c r="K176" s="3156">
        <f t="shared" si="37"/>
        <v>1</v>
      </c>
      <c r="L176" s="3430"/>
      <c r="M176" s="3156">
        <f t="shared" si="38"/>
        <v>1</v>
      </c>
      <c r="N176" s="3430"/>
      <c r="O176" s="3156">
        <f t="shared" si="39"/>
        <v>1</v>
      </c>
      <c r="P176" s="3430"/>
      <c r="Q176" s="3156">
        <f t="shared" si="40"/>
        <v>1</v>
      </c>
      <c r="R176" s="3921">
        <f t="shared" si="41"/>
        <v>0</v>
      </c>
      <c r="S176" s="4017">
        <f t="shared" si="32"/>
        <v>0</v>
      </c>
    </row>
    <row r="177" spans="1:19">
      <c r="A177" s="3157"/>
      <c r="B177" s="3428"/>
      <c r="C177" s="3156">
        <f t="shared" si="33"/>
        <v>1</v>
      </c>
      <c r="D177" s="3430"/>
      <c r="E177" s="3156">
        <f t="shared" si="34"/>
        <v>0</v>
      </c>
      <c r="F177" s="3430"/>
      <c r="G177" s="3156">
        <f t="shared" si="35"/>
        <v>1</v>
      </c>
      <c r="H177" s="3430"/>
      <c r="I177" s="3156">
        <f t="shared" si="36"/>
        <v>1</v>
      </c>
      <c r="J177" s="3430"/>
      <c r="K177" s="3156">
        <f t="shared" si="37"/>
        <v>1</v>
      </c>
      <c r="L177" s="3430"/>
      <c r="M177" s="3156">
        <f t="shared" si="38"/>
        <v>1</v>
      </c>
      <c r="N177" s="3430"/>
      <c r="O177" s="3156">
        <f t="shared" si="39"/>
        <v>1</v>
      </c>
      <c r="P177" s="3430"/>
      <c r="Q177" s="3156">
        <f t="shared" si="40"/>
        <v>1</v>
      </c>
      <c r="R177" s="3921">
        <f t="shared" si="41"/>
        <v>0</v>
      </c>
      <c r="S177" s="4017">
        <f t="shared" si="32"/>
        <v>0</v>
      </c>
    </row>
    <row r="178" spans="1:19">
      <c r="A178" s="3157"/>
      <c r="B178" s="3428"/>
      <c r="C178" s="3156">
        <f t="shared" si="33"/>
        <v>1</v>
      </c>
      <c r="D178" s="3430"/>
      <c r="E178" s="3156">
        <f t="shared" si="34"/>
        <v>0</v>
      </c>
      <c r="F178" s="3430"/>
      <c r="G178" s="3156">
        <f t="shared" si="35"/>
        <v>1</v>
      </c>
      <c r="H178" s="3430"/>
      <c r="I178" s="3156">
        <f t="shared" si="36"/>
        <v>1</v>
      </c>
      <c r="J178" s="3430"/>
      <c r="K178" s="3156">
        <f t="shared" si="37"/>
        <v>1</v>
      </c>
      <c r="L178" s="3430"/>
      <c r="M178" s="3156">
        <f t="shared" si="38"/>
        <v>1</v>
      </c>
      <c r="N178" s="3430"/>
      <c r="O178" s="3156">
        <f t="shared" si="39"/>
        <v>1</v>
      </c>
      <c r="P178" s="3430"/>
      <c r="Q178" s="3156">
        <f t="shared" si="40"/>
        <v>1</v>
      </c>
      <c r="R178" s="3921">
        <f t="shared" si="41"/>
        <v>0</v>
      </c>
      <c r="S178" s="4017">
        <f t="shared" si="32"/>
        <v>0</v>
      </c>
    </row>
    <row r="179" spans="1:19">
      <c r="A179" s="3157"/>
      <c r="B179" s="3428"/>
      <c r="C179" s="3156">
        <f t="shared" si="33"/>
        <v>1</v>
      </c>
      <c r="D179" s="3430"/>
      <c r="E179" s="3156">
        <f t="shared" si="34"/>
        <v>0</v>
      </c>
      <c r="F179" s="3430"/>
      <c r="G179" s="3156">
        <f t="shared" si="35"/>
        <v>1</v>
      </c>
      <c r="H179" s="3430"/>
      <c r="I179" s="3156">
        <f t="shared" si="36"/>
        <v>1</v>
      </c>
      <c r="J179" s="3430"/>
      <c r="K179" s="3156">
        <f t="shared" si="37"/>
        <v>1</v>
      </c>
      <c r="L179" s="3430"/>
      <c r="M179" s="3156">
        <f t="shared" si="38"/>
        <v>1</v>
      </c>
      <c r="N179" s="3430"/>
      <c r="O179" s="3156">
        <f t="shared" si="39"/>
        <v>1</v>
      </c>
      <c r="P179" s="3430"/>
      <c r="Q179" s="3156">
        <f t="shared" si="40"/>
        <v>1</v>
      </c>
      <c r="R179" s="3921">
        <f t="shared" si="41"/>
        <v>0</v>
      </c>
      <c r="S179" s="4017">
        <f t="shared" si="32"/>
        <v>0</v>
      </c>
    </row>
    <row r="180" spans="1:19">
      <c r="A180" s="3157"/>
      <c r="B180" s="3428"/>
      <c r="C180" s="3156">
        <f t="shared" si="33"/>
        <v>1</v>
      </c>
      <c r="D180" s="3430"/>
      <c r="E180" s="3156">
        <f t="shared" si="34"/>
        <v>0</v>
      </c>
      <c r="F180" s="3430"/>
      <c r="G180" s="3156">
        <f t="shared" si="35"/>
        <v>1</v>
      </c>
      <c r="H180" s="3430"/>
      <c r="I180" s="3156">
        <f t="shared" si="36"/>
        <v>1</v>
      </c>
      <c r="J180" s="3430"/>
      <c r="K180" s="3156">
        <f t="shared" si="37"/>
        <v>1</v>
      </c>
      <c r="L180" s="3430"/>
      <c r="M180" s="3156">
        <f t="shared" si="38"/>
        <v>1</v>
      </c>
      <c r="N180" s="3430"/>
      <c r="O180" s="3156">
        <f t="shared" si="39"/>
        <v>1</v>
      </c>
      <c r="P180" s="3430"/>
      <c r="Q180" s="3156">
        <f t="shared" si="40"/>
        <v>1</v>
      </c>
      <c r="R180" s="3921">
        <f t="shared" si="41"/>
        <v>0</v>
      </c>
      <c r="S180" s="4017">
        <f t="shared" si="32"/>
        <v>0</v>
      </c>
    </row>
    <row r="181" spans="1:19">
      <c r="A181" s="3157"/>
      <c r="B181" s="3428"/>
      <c r="C181" s="3156">
        <f t="shared" si="33"/>
        <v>1</v>
      </c>
      <c r="D181" s="3430"/>
      <c r="E181" s="3156">
        <f t="shared" si="34"/>
        <v>0</v>
      </c>
      <c r="F181" s="3430"/>
      <c r="G181" s="3156">
        <f t="shared" si="35"/>
        <v>1</v>
      </c>
      <c r="H181" s="3430"/>
      <c r="I181" s="3156">
        <f t="shared" si="36"/>
        <v>1</v>
      </c>
      <c r="J181" s="3430"/>
      <c r="K181" s="3156">
        <f t="shared" si="37"/>
        <v>1</v>
      </c>
      <c r="L181" s="3430"/>
      <c r="M181" s="3156">
        <f t="shared" si="38"/>
        <v>1</v>
      </c>
      <c r="N181" s="3430"/>
      <c r="O181" s="3156">
        <f t="shared" si="39"/>
        <v>1</v>
      </c>
      <c r="P181" s="3430"/>
      <c r="Q181" s="3156">
        <f t="shared" si="40"/>
        <v>1</v>
      </c>
      <c r="R181" s="3921">
        <f t="shared" si="41"/>
        <v>0</v>
      </c>
      <c r="S181" s="4017">
        <f t="shared" si="32"/>
        <v>0</v>
      </c>
    </row>
    <row r="182" spans="1:19">
      <c r="A182" s="3157"/>
      <c r="B182" s="3428"/>
      <c r="C182" s="3156">
        <f t="shared" si="33"/>
        <v>1</v>
      </c>
      <c r="D182" s="3430"/>
      <c r="E182" s="3156">
        <f t="shared" si="34"/>
        <v>0</v>
      </c>
      <c r="F182" s="3430"/>
      <c r="G182" s="3156">
        <f t="shared" si="35"/>
        <v>1</v>
      </c>
      <c r="H182" s="3430"/>
      <c r="I182" s="3156">
        <f t="shared" si="36"/>
        <v>1</v>
      </c>
      <c r="J182" s="3430"/>
      <c r="K182" s="3156">
        <f t="shared" si="37"/>
        <v>1</v>
      </c>
      <c r="L182" s="3430"/>
      <c r="M182" s="3156">
        <f t="shared" si="38"/>
        <v>1</v>
      </c>
      <c r="N182" s="3430"/>
      <c r="O182" s="3156">
        <f t="shared" si="39"/>
        <v>1</v>
      </c>
      <c r="P182" s="3430"/>
      <c r="Q182" s="3156">
        <f t="shared" si="40"/>
        <v>1</v>
      </c>
      <c r="R182" s="3921">
        <f t="shared" si="41"/>
        <v>0</v>
      </c>
      <c r="S182" s="4017">
        <f t="shared" si="32"/>
        <v>0</v>
      </c>
    </row>
    <row r="183" spans="1:19">
      <c r="A183" s="3157"/>
      <c r="B183" s="3428"/>
      <c r="C183" s="3156">
        <f t="shared" si="33"/>
        <v>1</v>
      </c>
      <c r="D183" s="3430"/>
      <c r="E183" s="3156">
        <f t="shared" si="34"/>
        <v>0</v>
      </c>
      <c r="F183" s="3430"/>
      <c r="G183" s="3156">
        <f t="shared" si="35"/>
        <v>1</v>
      </c>
      <c r="H183" s="3430"/>
      <c r="I183" s="3156">
        <f t="shared" si="36"/>
        <v>1</v>
      </c>
      <c r="J183" s="3430"/>
      <c r="K183" s="3156">
        <f t="shared" si="37"/>
        <v>1</v>
      </c>
      <c r="L183" s="3430"/>
      <c r="M183" s="3156">
        <f t="shared" si="38"/>
        <v>1</v>
      </c>
      <c r="N183" s="3430"/>
      <c r="O183" s="3156">
        <f t="shared" si="39"/>
        <v>1</v>
      </c>
      <c r="P183" s="3430"/>
      <c r="Q183" s="3156">
        <f t="shared" si="40"/>
        <v>1</v>
      </c>
      <c r="R183" s="3921">
        <f t="shared" si="41"/>
        <v>0</v>
      </c>
      <c r="S183" s="4017">
        <f t="shared" si="32"/>
        <v>0</v>
      </c>
    </row>
    <row r="184" spans="1:19">
      <c r="A184" s="3157"/>
      <c r="B184" s="3428"/>
      <c r="C184" s="3156">
        <f t="shared" si="33"/>
        <v>1</v>
      </c>
      <c r="D184" s="3430"/>
      <c r="E184" s="3156">
        <f t="shared" si="34"/>
        <v>0</v>
      </c>
      <c r="F184" s="3430"/>
      <c r="G184" s="3156">
        <f t="shared" si="35"/>
        <v>1</v>
      </c>
      <c r="H184" s="3430"/>
      <c r="I184" s="3156">
        <f t="shared" si="36"/>
        <v>1</v>
      </c>
      <c r="J184" s="3430"/>
      <c r="K184" s="3156">
        <f t="shared" si="37"/>
        <v>1</v>
      </c>
      <c r="L184" s="3430"/>
      <c r="M184" s="3156">
        <f t="shared" si="38"/>
        <v>1</v>
      </c>
      <c r="N184" s="3430"/>
      <c r="O184" s="3156">
        <f t="shared" si="39"/>
        <v>1</v>
      </c>
      <c r="P184" s="3430"/>
      <c r="Q184" s="3156">
        <f t="shared" si="40"/>
        <v>1</v>
      </c>
      <c r="R184" s="3921">
        <f t="shared" si="41"/>
        <v>0</v>
      </c>
      <c r="S184" s="4017">
        <f t="shared" si="32"/>
        <v>0</v>
      </c>
    </row>
    <row r="185" spans="1:19">
      <c r="A185" s="3157"/>
      <c r="B185" s="3428"/>
      <c r="C185" s="3156">
        <f t="shared" si="33"/>
        <v>1</v>
      </c>
      <c r="D185" s="3430"/>
      <c r="E185" s="3156">
        <f t="shared" si="34"/>
        <v>0</v>
      </c>
      <c r="F185" s="3430"/>
      <c r="G185" s="3156">
        <f t="shared" si="35"/>
        <v>1</v>
      </c>
      <c r="H185" s="3430"/>
      <c r="I185" s="3156">
        <f t="shared" si="36"/>
        <v>1</v>
      </c>
      <c r="J185" s="3430"/>
      <c r="K185" s="3156">
        <f t="shared" si="37"/>
        <v>1</v>
      </c>
      <c r="L185" s="3430"/>
      <c r="M185" s="3156">
        <f t="shared" si="38"/>
        <v>1</v>
      </c>
      <c r="N185" s="3430"/>
      <c r="O185" s="3156">
        <f t="shared" si="39"/>
        <v>1</v>
      </c>
      <c r="P185" s="3430"/>
      <c r="Q185" s="3156">
        <f t="shared" si="40"/>
        <v>1</v>
      </c>
      <c r="R185" s="3921">
        <f t="shared" si="41"/>
        <v>0</v>
      </c>
      <c r="S185" s="4017">
        <f t="shared" si="32"/>
        <v>0</v>
      </c>
    </row>
    <row r="186" spans="1:19">
      <c r="A186" s="3157"/>
      <c r="B186" s="3428"/>
      <c r="C186" s="3156">
        <f t="shared" si="33"/>
        <v>1</v>
      </c>
      <c r="D186" s="3430"/>
      <c r="E186" s="3156">
        <f t="shared" si="34"/>
        <v>0</v>
      </c>
      <c r="F186" s="3430"/>
      <c r="G186" s="3156">
        <f t="shared" si="35"/>
        <v>1</v>
      </c>
      <c r="H186" s="3430"/>
      <c r="I186" s="3156">
        <f t="shared" si="36"/>
        <v>1</v>
      </c>
      <c r="J186" s="3430"/>
      <c r="K186" s="3156">
        <f t="shared" si="37"/>
        <v>1</v>
      </c>
      <c r="L186" s="3430"/>
      <c r="M186" s="3156">
        <f t="shared" si="38"/>
        <v>1</v>
      </c>
      <c r="N186" s="3430"/>
      <c r="O186" s="3156">
        <f t="shared" si="39"/>
        <v>1</v>
      </c>
      <c r="P186" s="3430"/>
      <c r="Q186" s="3156">
        <f t="shared" si="40"/>
        <v>1</v>
      </c>
      <c r="R186" s="3921">
        <f t="shared" si="41"/>
        <v>0</v>
      </c>
      <c r="S186" s="4017">
        <f t="shared" si="32"/>
        <v>0</v>
      </c>
    </row>
    <row r="187" spans="1:19">
      <c r="A187" s="3157"/>
      <c r="B187" s="3428"/>
      <c r="C187" s="3156">
        <f t="shared" si="33"/>
        <v>1</v>
      </c>
      <c r="D187" s="3430"/>
      <c r="E187" s="3156">
        <f t="shared" si="34"/>
        <v>0</v>
      </c>
      <c r="F187" s="3430"/>
      <c r="G187" s="3156">
        <f t="shared" si="35"/>
        <v>1</v>
      </c>
      <c r="H187" s="3430"/>
      <c r="I187" s="3156">
        <f t="shared" si="36"/>
        <v>1</v>
      </c>
      <c r="J187" s="3430"/>
      <c r="K187" s="3156">
        <f t="shared" si="37"/>
        <v>1</v>
      </c>
      <c r="L187" s="3430"/>
      <c r="M187" s="3156">
        <f t="shared" si="38"/>
        <v>1</v>
      </c>
      <c r="N187" s="3430"/>
      <c r="O187" s="3156">
        <f t="shared" si="39"/>
        <v>1</v>
      </c>
      <c r="P187" s="3430"/>
      <c r="Q187" s="3156">
        <f t="shared" si="40"/>
        <v>1</v>
      </c>
      <c r="R187" s="3921">
        <f t="shared" si="41"/>
        <v>0</v>
      </c>
      <c r="S187" s="4017">
        <f t="shared" ref="S187:S222" si="42">ROUND(R187*B187/10000,0)</f>
        <v>0</v>
      </c>
    </row>
    <row r="188" spans="1:19">
      <c r="A188" s="3157"/>
      <c r="B188" s="3428"/>
      <c r="C188" s="3156">
        <f t="shared" si="33"/>
        <v>1</v>
      </c>
      <c r="D188" s="3430"/>
      <c r="E188" s="3156">
        <f t="shared" si="34"/>
        <v>0</v>
      </c>
      <c r="F188" s="3430"/>
      <c r="G188" s="3156">
        <f t="shared" si="35"/>
        <v>1</v>
      </c>
      <c r="H188" s="3430"/>
      <c r="I188" s="3156">
        <f t="shared" si="36"/>
        <v>1</v>
      </c>
      <c r="J188" s="3430"/>
      <c r="K188" s="3156">
        <f t="shared" si="37"/>
        <v>1</v>
      </c>
      <c r="L188" s="3430"/>
      <c r="M188" s="3156">
        <f t="shared" si="38"/>
        <v>1</v>
      </c>
      <c r="N188" s="3430"/>
      <c r="O188" s="3156">
        <f t="shared" si="39"/>
        <v>1</v>
      </c>
      <c r="P188" s="3430"/>
      <c r="Q188" s="3156">
        <f t="shared" si="40"/>
        <v>1</v>
      </c>
      <c r="R188" s="3921">
        <f t="shared" si="41"/>
        <v>0</v>
      </c>
      <c r="S188" s="4017">
        <f t="shared" si="42"/>
        <v>0</v>
      </c>
    </row>
    <row r="189" spans="1:19">
      <c r="A189" s="3157"/>
      <c r="B189" s="3428"/>
      <c r="C189" s="3156">
        <f t="shared" si="33"/>
        <v>1</v>
      </c>
      <c r="D189" s="3430"/>
      <c r="E189" s="3156">
        <f t="shared" si="34"/>
        <v>0</v>
      </c>
      <c r="F189" s="3430"/>
      <c r="G189" s="3156">
        <f t="shared" si="35"/>
        <v>1</v>
      </c>
      <c r="H189" s="3430"/>
      <c r="I189" s="3156">
        <f t="shared" si="36"/>
        <v>1</v>
      </c>
      <c r="J189" s="3430"/>
      <c r="K189" s="3156">
        <f t="shared" si="37"/>
        <v>1</v>
      </c>
      <c r="L189" s="3430"/>
      <c r="M189" s="3156">
        <f t="shared" si="38"/>
        <v>1</v>
      </c>
      <c r="N189" s="3430"/>
      <c r="O189" s="3156">
        <f t="shared" si="39"/>
        <v>1</v>
      </c>
      <c r="P189" s="3430"/>
      <c r="Q189" s="3156">
        <f t="shared" si="40"/>
        <v>1</v>
      </c>
      <c r="R189" s="3921">
        <f t="shared" si="41"/>
        <v>0</v>
      </c>
      <c r="S189" s="4017">
        <f t="shared" si="42"/>
        <v>0</v>
      </c>
    </row>
    <row r="190" spans="1:19">
      <c r="A190" s="3157"/>
      <c r="B190" s="3428"/>
      <c r="C190" s="3156">
        <f t="shared" si="33"/>
        <v>1</v>
      </c>
      <c r="D190" s="3430"/>
      <c r="E190" s="3156">
        <f t="shared" si="34"/>
        <v>0</v>
      </c>
      <c r="F190" s="3430"/>
      <c r="G190" s="3156">
        <f t="shared" si="35"/>
        <v>1</v>
      </c>
      <c r="H190" s="3430"/>
      <c r="I190" s="3156">
        <f t="shared" si="36"/>
        <v>1</v>
      </c>
      <c r="J190" s="3430"/>
      <c r="K190" s="3156">
        <f t="shared" si="37"/>
        <v>1</v>
      </c>
      <c r="L190" s="3430"/>
      <c r="M190" s="3156">
        <f t="shared" si="38"/>
        <v>1</v>
      </c>
      <c r="N190" s="3430"/>
      <c r="O190" s="3156">
        <f t="shared" si="39"/>
        <v>1</v>
      </c>
      <c r="P190" s="3430"/>
      <c r="Q190" s="3156">
        <f t="shared" si="40"/>
        <v>1</v>
      </c>
      <c r="R190" s="3921">
        <f t="shared" si="41"/>
        <v>0</v>
      </c>
      <c r="S190" s="4017">
        <f t="shared" si="42"/>
        <v>0</v>
      </c>
    </row>
    <row r="191" spans="1:19">
      <c r="A191" s="3157"/>
      <c r="B191" s="3428"/>
      <c r="C191" s="3156">
        <f t="shared" si="33"/>
        <v>1</v>
      </c>
      <c r="D191" s="3430"/>
      <c r="E191" s="3156">
        <f t="shared" si="34"/>
        <v>0</v>
      </c>
      <c r="F191" s="3430"/>
      <c r="G191" s="3156">
        <f t="shared" si="35"/>
        <v>1</v>
      </c>
      <c r="H191" s="3430"/>
      <c r="I191" s="3156">
        <f t="shared" si="36"/>
        <v>1</v>
      </c>
      <c r="J191" s="3430"/>
      <c r="K191" s="3156">
        <f t="shared" si="37"/>
        <v>1</v>
      </c>
      <c r="L191" s="3430"/>
      <c r="M191" s="3156">
        <f t="shared" si="38"/>
        <v>1</v>
      </c>
      <c r="N191" s="3430"/>
      <c r="O191" s="3156">
        <f t="shared" si="39"/>
        <v>1</v>
      </c>
      <c r="P191" s="3430"/>
      <c r="Q191" s="3156">
        <f t="shared" si="40"/>
        <v>1</v>
      </c>
      <c r="R191" s="3921">
        <f t="shared" si="41"/>
        <v>0</v>
      </c>
      <c r="S191" s="4017">
        <f t="shared" si="42"/>
        <v>0</v>
      </c>
    </row>
    <row r="192" spans="1:19">
      <c r="A192" s="3157"/>
      <c r="B192" s="3428"/>
      <c r="C192" s="3156">
        <f t="shared" si="33"/>
        <v>1</v>
      </c>
      <c r="D192" s="3430"/>
      <c r="E192" s="3156">
        <f t="shared" si="34"/>
        <v>0</v>
      </c>
      <c r="F192" s="3430"/>
      <c r="G192" s="3156">
        <f t="shared" si="35"/>
        <v>1</v>
      </c>
      <c r="H192" s="3430"/>
      <c r="I192" s="3156">
        <f t="shared" si="36"/>
        <v>1</v>
      </c>
      <c r="J192" s="3430"/>
      <c r="K192" s="3156">
        <f t="shared" si="37"/>
        <v>1</v>
      </c>
      <c r="L192" s="3430"/>
      <c r="M192" s="3156">
        <f t="shared" si="38"/>
        <v>1</v>
      </c>
      <c r="N192" s="3430"/>
      <c r="O192" s="3156">
        <f t="shared" si="39"/>
        <v>1</v>
      </c>
      <c r="P192" s="3430"/>
      <c r="Q192" s="3156">
        <f t="shared" si="40"/>
        <v>1</v>
      </c>
      <c r="R192" s="3921">
        <f t="shared" si="41"/>
        <v>0</v>
      </c>
      <c r="S192" s="4017">
        <f t="shared" si="42"/>
        <v>0</v>
      </c>
    </row>
    <row r="193" spans="1:19">
      <c r="A193" s="3157"/>
      <c r="B193" s="3428"/>
      <c r="C193" s="3156">
        <f t="shared" si="33"/>
        <v>1</v>
      </c>
      <c r="D193" s="3430"/>
      <c r="E193" s="3156">
        <f t="shared" si="34"/>
        <v>0</v>
      </c>
      <c r="F193" s="3430"/>
      <c r="G193" s="3156">
        <f t="shared" si="35"/>
        <v>1</v>
      </c>
      <c r="H193" s="3430"/>
      <c r="I193" s="3156">
        <f t="shared" si="36"/>
        <v>1</v>
      </c>
      <c r="J193" s="3430"/>
      <c r="K193" s="3156">
        <f t="shared" si="37"/>
        <v>1</v>
      </c>
      <c r="L193" s="3430"/>
      <c r="M193" s="3156">
        <f t="shared" si="38"/>
        <v>1</v>
      </c>
      <c r="N193" s="3430"/>
      <c r="O193" s="3156">
        <f t="shared" si="39"/>
        <v>1</v>
      </c>
      <c r="P193" s="3430"/>
      <c r="Q193" s="3156">
        <f t="shared" si="40"/>
        <v>1</v>
      </c>
      <c r="R193" s="3921">
        <f t="shared" si="41"/>
        <v>0</v>
      </c>
      <c r="S193" s="4017">
        <f t="shared" si="42"/>
        <v>0</v>
      </c>
    </row>
    <row r="194" spans="1:19">
      <c r="A194" s="3157"/>
      <c r="B194" s="3428"/>
      <c r="C194" s="3156">
        <f t="shared" si="33"/>
        <v>1</v>
      </c>
      <c r="D194" s="3430"/>
      <c r="E194" s="3156">
        <f t="shared" si="34"/>
        <v>0</v>
      </c>
      <c r="F194" s="3430"/>
      <c r="G194" s="3156">
        <f t="shared" si="35"/>
        <v>1</v>
      </c>
      <c r="H194" s="3430"/>
      <c r="I194" s="3156">
        <f t="shared" si="36"/>
        <v>1</v>
      </c>
      <c r="J194" s="3430"/>
      <c r="K194" s="3156">
        <f t="shared" si="37"/>
        <v>1</v>
      </c>
      <c r="L194" s="3430"/>
      <c r="M194" s="3156">
        <f t="shared" si="38"/>
        <v>1</v>
      </c>
      <c r="N194" s="3430"/>
      <c r="O194" s="3156">
        <f t="shared" si="39"/>
        <v>1</v>
      </c>
      <c r="P194" s="3430"/>
      <c r="Q194" s="3156">
        <f t="shared" si="40"/>
        <v>1</v>
      </c>
      <c r="R194" s="3921">
        <f t="shared" si="41"/>
        <v>0</v>
      </c>
      <c r="S194" s="4017">
        <f t="shared" si="42"/>
        <v>0</v>
      </c>
    </row>
    <row r="195" spans="1:19">
      <c r="A195" s="3157"/>
      <c r="B195" s="3428"/>
      <c r="C195" s="3156">
        <f t="shared" si="33"/>
        <v>1</v>
      </c>
      <c r="D195" s="3430"/>
      <c r="E195" s="3156">
        <f t="shared" si="34"/>
        <v>0</v>
      </c>
      <c r="F195" s="3430"/>
      <c r="G195" s="3156">
        <f t="shared" si="35"/>
        <v>1</v>
      </c>
      <c r="H195" s="3430"/>
      <c r="I195" s="3156">
        <f t="shared" si="36"/>
        <v>1</v>
      </c>
      <c r="J195" s="3430"/>
      <c r="K195" s="3156">
        <f t="shared" si="37"/>
        <v>1</v>
      </c>
      <c r="L195" s="3430"/>
      <c r="M195" s="3156">
        <f t="shared" si="38"/>
        <v>1</v>
      </c>
      <c r="N195" s="3430"/>
      <c r="O195" s="3156">
        <f t="shared" si="39"/>
        <v>1</v>
      </c>
      <c r="P195" s="3430"/>
      <c r="Q195" s="3156">
        <f t="shared" si="40"/>
        <v>1</v>
      </c>
      <c r="R195" s="3921">
        <f t="shared" si="41"/>
        <v>0</v>
      </c>
      <c r="S195" s="4017">
        <f t="shared" si="42"/>
        <v>0</v>
      </c>
    </row>
    <row r="196" spans="1:19">
      <c r="A196" s="3157"/>
      <c r="B196" s="3428"/>
      <c r="C196" s="3156">
        <f t="shared" si="33"/>
        <v>1</v>
      </c>
      <c r="D196" s="3430"/>
      <c r="E196" s="3156">
        <f t="shared" si="34"/>
        <v>0</v>
      </c>
      <c r="F196" s="3430"/>
      <c r="G196" s="3156">
        <f t="shared" si="35"/>
        <v>1</v>
      </c>
      <c r="H196" s="3430"/>
      <c r="I196" s="3156">
        <f t="shared" si="36"/>
        <v>1</v>
      </c>
      <c r="J196" s="3430"/>
      <c r="K196" s="3156">
        <f t="shared" si="37"/>
        <v>1</v>
      </c>
      <c r="L196" s="3430"/>
      <c r="M196" s="3156">
        <f t="shared" si="38"/>
        <v>1</v>
      </c>
      <c r="N196" s="3430"/>
      <c r="O196" s="3156">
        <f t="shared" si="39"/>
        <v>1</v>
      </c>
      <c r="P196" s="3430"/>
      <c r="Q196" s="3156">
        <f t="shared" si="40"/>
        <v>1</v>
      </c>
      <c r="R196" s="3921">
        <f t="shared" si="41"/>
        <v>0</v>
      </c>
      <c r="S196" s="4017">
        <f t="shared" si="42"/>
        <v>0</v>
      </c>
    </row>
    <row r="197" spans="1:19">
      <c r="A197" s="3157"/>
      <c r="B197" s="3428"/>
      <c r="C197" s="3156">
        <f t="shared" si="33"/>
        <v>1</v>
      </c>
      <c r="D197" s="3430"/>
      <c r="E197" s="3156">
        <f t="shared" si="34"/>
        <v>0</v>
      </c>
      <c r="F197" s="3430"/>
      <c r="G197" s="3156">
        <f t="shared" si="35"/>
        <v>1</v>
      </c>
      <c r="H197" s="3430"/>
      <c r="I197" s="3156">
        <f t="shared" si="36"/>
        <v>1</v>
      </c>
      <c r="J197" s="3430"/>
      <c r="K197" s="3156">
        <f t="shared" si="37"/>
        <v>1</v>
      </c>
      <c r="L197" s="3430"/>
      <c r="M197" s="3156">
        <f t="shared" si="38"/>
        <v>1</v>
      </c>
      <c r="N197" s="3430"/>
      <c r="O197" s="3156">
        <f t="shared" si="39"/>
        <v>1</v>
      </c>
      <c r="P197" s="3430"/>
      <c r="Q197" s="3156">
        <f t="shared" si="40"/>
        <v>1</v>
      </c>
      <c r="R197" s="3921">
        <f t="shared" si="41"/>
        <v>0</v>
      </c>
      <c r="S197" s="4017">
        <f t="shared" si="42"/>
        <v>0</v>
      </c>
    </row>
    <row r="198" spans="1:19">
      <c r="A198" s="3157"/>
      <c r="B198" s="3428"/>
      <c r="C198" s="3156">
        <f t="shared" si="33"/>
        <v>1</v>
      </c>
      <c r="D198" s="3430"/>
      <c r="E198" s="3156">
        <f t="shared" si="34"/>
        <v>0</v>
      </c>
      <c r="F198" s="3430"/>
      <c r="G198" s="3156">
        <f t="shared" si="35"/>
        <v>1</v>
      </c>
      <c r="H198" s="3430"/>
      <c r="I198" s="3156">
        <f t="shared" si="36"/>
        <v>1</v>
      </c>
      <c r="J198" s="3430"/>
      <c r="K198" s="3156">
        <f t="shared" si="37"/>
        <v>1</v>
      </c>
      <c r="L198" s="3430"/>
      <c r="M198" s="3156">
        <f t="shared" si="38"/>
        <v>1</v>
      </c>
      <c r="N198" s="3430"/>
      <c r="O198" s="3156">
        <f t="shared" si="39"/>
        <v>1</v>
      </c>
      <c r="P198" s="3430"/>
      <c r="Q198" s="3156">
        <f t="shared" si="40"/>
        <v>1</v>
      </c>
      <c r="R198" s="3921">
        <f t="shared" si="41"/>
        <v>0</v>
      </c>
      <c r="S198" s="4017">
        <f t="shared" si="42"/>
        <v>0</v>
      </c>
    </row>
    <row r="199" spans="1:19">
      <c r="A199" s="3157"/>
      <c r="B199" s="3428"/>
      <c r="C199" s="3156">
        <f t="shared" si="33"/>
        <v>1</v>
      </c>
      <c r="D199" s="3430"/>
      <c r="E199" s="3156">
        <f t="shared" si="34"/>
        <v>0</v>
      </c>
      <c r="F199" s="3430"/>
      <c r="G199" s="3156">
        <f t="shared" si="35"/>
        <v>1</v>
      </c>
      <c r="H199" s="3430"/>
      <c r="I199" s="3156">
        <f t="shared" si="36"/>
        <v>1</v>
      </c>
      <c r="J199" s="3430"/>
      <c r="K199" s="3156">
        <f t="shared" si="37"/>
        <v>1</v>
      </c>
      <c r="L199" s="3430"/>
      <c r="M199" s="3156">
        <f t="shared" si="38"/>
        <v>1</v>
      </c>
      <c r="N199" s="3430"/>
      <c r="O199" s="3156">
        <f t="shared" si="39"/>
        <v>1</v>
      </c>
      <c r="P199" s="3430"/>
      <c r="Q199" s="3156">
        <f t="shared" si="40"/>
        <v>1</v>
      </c>
      <c r="R199" s="3921">
        <f t="shared" si="41"/>
        <v>0</v>
      </c>
      <c r="S199" s="4017">
        <f t="shared" si="42"/>
        <v>0</v>
      </c>
    </row>
    <row r="200" spans="1:19">
      <c r="A200" s="3157"/>
      <c r="B200" s="3428"/>
      <c r="C200" s="3156">
        <f t="shared" si="33"/>
        <v>1</v>
      </c>
      <c r="D200" s="3430"/>
      <c r="E200" s="3156">
        <f t="shared" si="34"/>
        <v>0</v>
      </c>
      <c r="F200" s="3430"/>
      <c r="G200" s="3156">
        <f t="shared" si="35"/>
        <v>1</v>
      </c>
      <c r="H200" s="3430"/>
      <c r="I200" s="3156">
        <f t="shared" si="36"/>
        <v>1</v>
      </c>
      <c r="J200" s="3430"/>
      <c r="K200" s="3156">
        <f t="shared" si="37"/>
        <v>1</v>
      </c>
      <c r="L200" s="3430"/>
      <c r="M200" s="3156">
        <f t="shared" si="38"/>
        <v>1</v>
      </c>
      <c r="N200" s="3430"/>
      <c r="O200" s="3156">
        <f t="shared" si="39"/>
        <v>1</v>
      </c>
      <c r="P200" s="3430"/>
      <c r="Q200" s="3156">
        <f t="shared" si="40"/>
        <v>1</v>
      </c>
      <c r="R200" s="3921">
        <f t="shared" si="41"/>
        <v>0</v>
      </c>
      <c r="S200" s="4017">
        <f t="shared" si="42"/>
        <v>0</v>
      </c>
    </row>
    <row r="201" spans="1:19">
      <c r="A201" s="3157"/>
      <c r="B201" s="3428"/>
      <c r="C201" s="3156">
        <f t="shared" si="33"/>
        <v>1</v>
      </c>
      <c r="D201" s="3430"/>
      <c r="E201" s="3156">
        <f t="shared" si="34"/>
        <v>0</v>
      </c>
      <c r="F201" s="3430"/>
      <c r="G201" s="3156">
        <f t="shared" si="35"/>
        <v>1</v>
      </c>
      <c r="H201" s="3430"/>
      <c r="I201" s="3156">
        <f t="shared" si="36"/>
        <v>1</v>
      </c>
      <c r="J201" s="3430"/>
      <c r="K201" s="3156">
        <f t="shared" si="37"/>
        <v>1</v>
      </c>
      <c r="L201" s="3430"/>
      <c r="M201" s="3156">
        <f t="shared" si="38"/>
        <v>1</v>
      </c>
      <c r="N201" s="3430"/>
      <c r="O201" s="3156">
        <f t="shared" si="39"/>
        <v>1</v>
      </c>
      <c r="P201" s="3430"/>
      <c r="Q201" s="3156">
        <f t="shared" si="40"/>
        <v>1</v>
      </c>
      <c r="R201" s="3921">
        <f t="shared" si="41"/>
        <v>0</v>
      </c>
      <c r="S201" s="4017">
        <f t="shared" si="42"/>
        <v>0</v>
      </c>
    </row>
    <row r="202" spans="1:19">
      <c r="A202" s="3157"/>
      <c r="B202" s="3428"/>
      <c r="C202" s="3156">
        <f t="shared" si="33"/>
        <v>1</v>
      </c>
      <c r="D202" s="3430"/>
      <c r="E202" s="3156">
        <f t="shared" si="34"/>
        <v>0</v>
      </c>
      <c r="F202" s="3430"/>
      <c r="G202" s="3156">
        <f t="shared" si="35"/>
        <v>1</v>
      </c>
      <c r="H202" s="3430"/>
      <c r="I202" s="3156">
        <f t="shared" si="36"/>
        <v>1</v>
      </c>
      <c r="J202" s="3430"/>
      <c r="K202" s="3156">
        <f t="shared" si="37"/>
        <v>1</v>
      </c>
      <c r="L202" s="3430"/>
      <c r="M202" s="3156">
        <f t="shared" si="38"/>
        <v>1</v>
      </c>
      <c r="N202" s="3430"/>
      <c r="O202" s="3156">
        <f t="shared" si="39"/>
        <v>1</v>
      </c>
      <c r="P202" s="3430"/>
      <c r="Q202" s="3156">
        <f t="shared" si="40"/>
        <v>1</v>
      </c>
      <c r="R202" s="3921">
        <f t="shared" si="41"/>
        <v>0</v>
      </c>
      <c r="S202" s="4017">
        <f t="shared" si="42"/>
        <v>0</v>
      </c>
    </row>
    <row r="203" spans="1:19">
      <c r="A203" s="3157"/>
      <c r="B203" s="3428"/>
      <c r="C203" s="3156">
        <f t="shared" si="33"/>
        <v>1</v>
      </c>
      <c r="D203" s="3430"/>
      <c r="E203" s="3156">
        <f t="shared" si="34"/>
        <v>0</v>
      </c>
      <c r="F203" s="3430"/>
      <c r="G203" s="3156">
        <f t="shared" si="35"/>
        <v>1</v>
      </c>
      <c r="H203" s="3430"/>
      <c r="I203" s="3156">
        <f t="shared" si="36"/>
        <v>1</v>
      </c>
      <c r="J203" s="3430"/>
      <c r="K203" s="3156">
        <f t="shared" si="37"/>
        <v>1</v>
      </c>
      <c r="L203" s="3430"/>
      <c r="M203" s="3156">
        <f t="shared" si="38"/>
        <v>1</v>
      </c>
      <c r="N203" s="3430"/>
      <c r="O203" s="3156">
        <f t="shared" si="39"/>
        <v>1</v>
      </c>
      <c r="P203" s="3430"/>
      <c r="Q203" s="3156">
        <f t="shared" si="40"/>
        <v>1</v>
      </c>
      <c r="R203" s="3921">
        <f t="shared" si="41"/>
        <v>0</v>
      </c>
      <c r="S203" s="4017">
        <f t="shared" si="42"/>
        <v>0</v>
      </c>
    </row>
    <row r="204" spans="1:19">
      <c r="A204" s="3157"/>
      <c r="B204" s="3428"/>
      <c r="C204" s="3156">
        <f t="shared" si="33"/>
        <v>1</v>
      </c>
      <c r="D204" s="3430"/>
      <c r="E204" s="3156">
        <f t="shared" si="34"/>
        <v>0</v>
      </c>
      <c r="F204" s="3430"/>
      <c r="G204" s="3156">
        <f t="shared" si="35"/>
        <v>1</v>
      </c>
      <c r="H204" s="3430"/>
      <c r="I204" s="3156">
        <f t="shared" si="36"/>
        <v>1</v>
      </c>
      <c r="J204" s="3430"/>
      <c r="K204" s="3156">
        <f t="shared" si="37"/>
        <v>1</v>
      </c>
      <c r="L204" s="3430"/>
      <c r="M204" s="3156">
        <f t="shared" si="38"/>
        <v>1</v>
      </c>
      <c r="N204" s="3430"/>
      <c r="O204" s="3156">
        <f t="shared" si="39"/>
        <v>1</v>
      </c>
      <c r="P204" s="3430"/>
      <c r="Q204" s="3156">
        <f t="shared" si="40"/>
        <v>1</v>
      </c>
      <c r="R204" s="3921">
        <f t="shared" si="41"/>
        <v>0</v>
      </c>
      <c r="S204" s="4017">
        <f t="shared" si="42"/>
        <v>0</v>
      </c>
    </row>
    <row r="205" spans="1:19">
      <c r="A205" s="3157"/>
      <c r="B205" s="3428"/>
      <c r="C205" s="3156">
        <f t="shared" si="33"/>
        <v>1</v>
      </c>
      <c r="D205" s="3430"/>
      <c r="E205" s="3156">
        <f t="shared" si="34"/>
        <v>0</v>
      </c>
      <c r="F205" s="3430"/>
      <c r="G205" s="3156">
        <f t="shared" si="35"/>
        <v>1</v>
      </c>
      <c r="H205" s="3430"/>
      <c r="I205" s="3156">
        <f t="shared" si="36"/>
        <v>1</v>
      </c>
      <c r="J205" s="3430"/>
      <c r="K205" s="3156">
        <f t="shared" si="37"/>
        <v>1</v>
      </c>
      <c r="L205" s="3430"/>
      <c r="M205" s="3156">
        <f t="shared" si="38"/>
        <v>1</v>
      </c>
      <c r="N205" s="3430"/>
      <c r="O205" s="3156">
        <f t="shared" si="39"/>
        <v>1</v>
      </c>
      <c r="P205" s="3430"/>
      <c r="Q205" s="3156">
        <f t="shared" si="40"/>
        <v>1</v>
      </c>
      <c r="R205" s="3921">
        <f t="shared" si="41"/>
        <v>0</v>
      </c>
      <c r="S205" s="4017">
        <f t="shared" si="42"/>
        <v>0</v>
      </c>
    </row>
    <row r="206" spans="1:19">
      <c r="A206" s="3157"/>
      <c r="B206" s="3428"/>
      <c r="C206" s="3156">
        <f t="shared" si="33"/>
        <v>1</v>
      </c>
      <c r="D206" s="3430"/>
      <c r="E206" s="3156">
        <f t="shared" si="34"/>
        <v>0</v>
      </c>
      <c r="F206" s="3430"/>
      <c r="G206" s="3156">
        <f t="shared" si="35"/>
        <v>1</v>
      </c>
      <c r="H206" s="3430"/>
      <c r="I206" s="3156">
        <f t="shared" si="36"/>
        <v>1</v>
      </c>
      <c r="J206" s="3430"/>
      <c r="K206" s="3156">
        <f t="shared" si="37"/>
        <v>1</v>
      </c>
      <c r="L206" s="3430"/>
      <c r="M206" s="3156">
        <f t="shared" si="38"/>
        <v>1</v>
      </c>
      <c r="N206" s="3430"/>
      <c r="O206" s="3156">
        <f t="shared" si="39"/>
        <v>1</v>
      </c>
      <c r="P206" s="3430"/>
      <c r="Q206" s="3156">
        <f t="shared" si="40"/>
        <v>1</v>
      </c>
      <c r="R206" s="3921">
        <f t="shared" si="41"/>
        <v>0</v>
      </c>
      <c r="S206" s="4017">
        <f t="shared" si="42"/>
        <v>0</v>
      </c>
    </row>
    <row r="207" spans="1:19">
      <c r="A207" s="3157"/>
      <c r="B207" s="3428"/>
      <c r="C207" s="3156">
        <f t="shared" si="33"/>
        <v>1</v>
      </c>
      <c r="D207" s="3430"/>
      <c r="E207" s="3156">
        <f t="shared" si="34"/>
        <v>0</v>
      </c>
      <c r="F207" s="3430"/>
      <c r="G207" s="3156">
        <f t="shared" si="35"/>
        <v>1</v>
      </c>
      <c r="H207" s="3430"/>
      <c r="I207" s="3156">
        <f t="shared" si="36"/>
        <v>1</v>
      </c>
      <c r="J207" s="3430"/>
      <c r="K207" s="3156">
        <f t="shared" si="37"/>
        <v>1</v>
      </c>
      <c r="L207" s="3430"/>
      <c r="M207" s="3156">
        <f t="shared" si="38"/>
        <v>1</v>
      </c>
      <c r="N207" s="3430"/>
      <c r="O207" s="3156">
        <f t="shared" si="39"/>
        <v>1</v>
      </c>
      <c r="P207" s="3430"/>
      <c r="Q207" s="3156">
        <f t="shared" si="40"/>
        <v>1</v>
      </c>
      <c r="R207" s="3921">
        <f t="shared" si="41"/>
        <v>0</v>
      </c>
      <c r="S207" s="4017">
        <f t="shared" si="42"/>
        <v>0</v>
      </c>
    </row>
    <row r="208" spans="1:19">
      <c r="A208" s="3157"/>
      <c r="B208" s="3428"/>
      <c r="C208" s="3156">
        <f t="shared" si="33"/>
        <v>1</v>
      </c>
      <c r="D208" s="3430"/>
      <c r="E208" s="3156">
        <f t="shared" si="34"/>
        <v>0</v>
      </c>
      <c r="F208" s="3430"/>
      <c r="G208" s="3156">
        <f t="shared" si="35"/>
        <v>1</v>
      </c>
      <c r="H208" s="3430"/>
      <c r="I208" s="3156">
        <f t="shared" si="36"/>
        <v>1</v>
      </c>
      <c r="J208" s="3430"/>
      <c r="K208" s="3156">
        <f t="shared" si="37"/>
        <v>1</v>
      </c>
      <c r="L208" s="3430"/>
      <c r="M208" s="3156">
        <f t="shared" si="38"/>
        <v>1</v>
      </c>
      <c r="N208" s="3430"/>
      <c r="O208" s="3156">
        <f t="shared" si="39"/>
        <v>1</v>
      </c>
      <c r="P208" s="3430"/>
      <c r="Q208" s="3156">
        <f t="shared" si="40"/>
        <v>1</v>
      </c>
      <c r="R208" s="3921">
        <f t="shared" si="41"/>
        <v>0</v>
      </c>
      <c r="S208" s="4017">
        <f t="shared" si="42"/>
        <v>0</v>
      </c>
    </row>
    <row r="209" spans="1:19">
      <c r="A209" s="3157"/>
      <c r="B209" s="3428"/>
      <c r="C209" s="3156">
        <f t="shared" si="33"/>
        <v>1</v>
      </c>
      <c r="D209" s="3430"/>
      <c r="E209" s="3156">
        <f t="shared" si="34"/>
        <v>0</v>
      </c>
      <c r="F209" s="3430"/>
      <c r="G209" s="3156">
        <f t="shared" si="35"/>
        <v>1</v>
      </c>
      <c r="H209" s="3430"/>
      <c r="I209" s="3156">
        <f t="shared" si="36"/>
        <v>1</v>
      </c>
      <c r="J209" s="3430"/>
      <c r="K209" s="3156">
        <f t="shared" si="37"/>
        <v>1</v>
      </c>
      <c r="L209" s="3430"/>
      <c r="M209" s="3156">
        <f t="shared" si="38"/>
        <v>1</v>
      </c>
      <c r="N209" s="3430"/>
      <c r="O209" s="3156">
        <f t="shared" si="39"/>
        <v>1</v>
      </c>
      <c r="P209" s="3430"/>
      <c r="Q209" s="3156">
        <f t="shared" si="40"/>
        <v>1</v>
      </c>
      <c r="R209" s="3921">
        <f t="shared" si="41"/>
        <v>0</v>
      </c>
      <c r="S209" s="4017">
        <f t="shared" si="42"/>
        <v>0</v>
      </c>
    </row>
    <row r="210" spans="1:19">
      <c r="A210" s="3157"/>
      <c r="B210" s="3428"/>
      <c r="C210" s="3156">
        <f t="shared" si="33"/>
        <v>1</v>
      </c>
      <c r="D210" s="3430"/>
      <c r="E210" s="3156">
        <f t="shared" si="34"/>
        <v>0</v>
      </c>
      <c r="F210" s="3430"/>
      <c r="G210" s="3156">
        <f t="shared" si="35"/>
        <v>1</v>
      </c>
      <c r="H210" s="3430"/>
      <c r="I210" s="3156">
        <f t="shared" si="36"/>
        <v>1</v>
      </c>
      <c r="J210" s="3430"/>
      <c r="K210" s="3156">
        <f t="shared" si="37"/>
        <v>1</v>
      </c>
      <c r="L210" s="3430"/>
      <c r="M210" s="3156">
        <f t="shared" si="38"/>
        <v>1</v>
      </c>
      <c r="N210" s="3430"/>
      <c r="O210" s="3156">
        <f t="shared" si="39"/>
        <v>1</v>
      </c>
      <c r="P210" s="3430"/>
      <c r="Q210" s="3156">
        <f t="shared" si="40"/>
        <v>1</v>
      </c>
      <c r="R210" s="3921">
        <f t="shared" si="41"/>
        <v>0</v>
      </c>
      <c r="S210" s="4017">
        <f t="shared" si="42"/>
        <v>0</v>
      </c>
    </row>
    <row r="211" spans="1:19">
      <c r="A211" s="3157"/>
      <c r="B211" s="3428"/>
      <c r="C211" s="3156">
        <f t="shared" si="33"/>
        <v>1</v>
      </c>
      <c r="D211" s="3430"/>
      <c r="E211" s="3156">
        <f t="shared" si="34"/>
        <v>0</v>
      </c>
      <c r="F211" s="3430"/>
      <c r="G211" s="3156">
        <f t="shared" si="35"/>
        <v>1</v>
      </c>
      <c r="H211" s="3430"/>
      <c r="I211" s="3156">
        <f t="shared" si="36"/>
        <v>1</v>
      </c>
      <c r="J211" s="3430"/>
      <c r="K211" s="3156">
        <f t="shared" si="37"/>
        <v>1</v>
      </c>
      <c r="L211" s="3430"/>
      <c r="M211" s="3156">
        <f t="shared" si="38"/>
        <v>1</v>
      </c>
      <c r="N211" s="3430"/>
      <c r="O211" s="3156">
        <f t="shared" si="39"/>
        <v>1</v>
      </c>
      <c r="P211" s="3430"/>
      <c r="Q211" s="3156">
        <f t="shared" si="40"/>
        <v>1</v>
      </c>
      <c r="R211" s="3921">
        <f t="shared" si="41"/>
        <v>0</v>
      </c>
      <c r="S211" s="4017">
        <f t="shared" si="42"/>
        <v>0</v>
      </c>
    </row>
    <row r="212" spans="1:19">
      <c r="A212" s="3157"/>
      <c r="B212" s="3428"/>
      <c r="C212" s="3156">
        <f t="shared" si="33"/>
        <v>1</v>
      </c>
      <c r="D212" s="3430"/>
      <c r="E212" s="3156">
        <f t="shared" si="34"/>
        <v>0</v>
      </c>
      <c r="F212" s="3430"/>
      <c r="G212" s="3156">
        <f t="shared" si="35"/>
        <v>1</v>
      </c>
      <c r="H212" s="3430"/>
      <c r="I212" s="3156">
        <f t="shared" si="36"/>
        <v>1</v>
      </c>
      <c r="J212" s="3430"/>
      <c r="K212" s="3156">
        <f t="shared" si="37"/>
        <v>1</v>
      </c>
      <c r="L212" s="3430"/>
      <c r="M212" s="3156">
        <f t="shared" si="38"/>
        <v>1</v>
      </c>
      <c r="N212" s="3430"/>
      <c r="O212" s="3156">
        <f t="shared" si="39"/>
        <v>1</v>
      </c>
      <c r="P212" s="3430"/>
      <c r="Q212" s="3156">
        <f t="shared" si="40"/>
        <v>1</v>
      </c>
      <c r="R212" s="3921">
        <f t="shared" si="41"/>
        <v>0</v>
      </c>
      <c r="S212" s="4017">
        <f t="shared" si="42"/>
        <v>0</v>
      </c>
    </row>
    <row r="213" spans="1:19">
      <c r="A213" s="3157"/>
      <c r="B213" s="3428"/>
      <c r="C213" s="3156">
        <f t="shared" si="33"/>
        <v>1</v>
      </c>
      <c r="D213" s="3430"/>
      <c r="E213" s="3156">
        <f t="shared" si="34"/>
        <v>0</v>
      </c>
      <c r="F213" s="3430"/>
      <c r="G213" s="3156">
        <f t="shared" si="35"/>
        <v>1</v>
      </c>
      <c r="H213" s="3430"/>
      <c r="I213" s="3156">
        <f t="shared" si="36"/>
        <v>1</v>
      </c>
      <c r="J213" s="3430"/>
      <c r="K213" s="3156">
        <f t="shared" si="37"/>
        <v>1</v>
      </c>
      <c r="L213" s="3430"/>
      <c r="M213" s="3156">
        <f t="shared" si="38"/>
        <v>1</v>
      </c>
      <c r="N213" s="3430"/>
      <c r="O213" s="3156">
        <f t="shared" si="39"/>
        <v>1</v>
      </c>
      <c r="P213" s="3430"/>
      <c r="Q213" s="3156">
        <f t="shared" si="40"/>
        <v>1</v>
      </c>
      <c r="R213" s="3921">
        <f t="shared" si="41"/>
        <v>0</v>
      </c>
      <c r="S213" s="4017">
        <f t="shared" si="42"/>
        <v>0</v>
      </c>
    </row>
    <row r="214" spans="1:19">
      <c r="A214" s="3157"/>
      <c r="B214" s="3428"/>
      <c r="C214" s="3156">
        <f t="shared" si="33"/>
        <v>1</v>
      </c>
      <c r="D214" s="3430"/>
      <c r="E214" s="3156">
        <f t="shared" si="34"/>
        <v>0</v>
      </c>
      <c r="F214" s="3430"/>
      <c r="G214" s="3156">
        <f t="shared" si="35"/>
        <v>1</v>
      </c>
      <c r="H214" s="3430"/>
      <c r="I214" s="3156">
        <f t="shared" si="36"/>
        <v>1</v>
      </c>
      <c r="J214" s="3430"/>
      <c r="K214" s="3156">
        <f t="shared" si="37"/>
        <v>1</v>
      </c>
      <c r="L214" s="3430"/>
      <c r="M214" s="3156">
        <f t="shared" si="38"/>
        <v>1</v>
      </c>
      <c r="N214" s="3430"/>
      <c r="O214" s="3156">
        <f t="shared" si="39"/>
        <v>1</v>
      </c>
      <c r="P214" s="3430"/>
      <c r="Q214" s="3156">
        <f t="shared" si="40"/>
        <v>1</v>
      </c>
      <c r="R214" s="3921">
        <f t="shared" si="41"/>
        <v>0</v>
      </c>
      <c r="S214" s="4017">
        <f t="shared" si="42"/>
        <v>0</v>
      </c>
    </row>
    <row r="215" spans="1:19">
      <c r="A215" s="3157"/>
      <c r="B215" s="3428"/>
      <c r="C215" s="3156">
        <f t="shared" si="33"/>
        <v>1</v>
      </c>
      <c r="D215" s="3430"/>
      <c r="E215" s="3156">
        <f t="shared" si="34"/>
        <v>0</v>
      </c>
      <c r="F215" s="3430"/>
      <c r="G215" s="3156">
        <f t="shared" si="35"/>
        <v>1</v>
      </c>
      <c r="H215" s="3430"/>
      <c r="I215" s="3156">
        <f t="shared" si="36"/>
        <v>1</v>
      </c>
      <c r="J215" s="3430"/>
      <c r="K215" s="3156">
        <f t="shared" si="37"/>
        <v>1</v>
      </c>
      <c r="L215" s="3430"/>
      <c r="M215" s="3156">
        <f t="shared" si="38"/>
        <v>1</v>
      </c>
      <c r="N215" s="3430"/>
      <c r="O215" s="3156">
        <f t="shared" si="39"/>
        <v>1</v>
      </c>
      <c r="P215" s="3430"/>
      <c r="Q215" s="3156">
        <f t="shared" si="40"/>
        <v>1</v>
      </c>
      <c r="R215" s="3921">
        <f t="shared" si="41"/>
        <v>0</v>
      </c>
      <c r="S215" s="4017">
        <f t="shared" si="42"/>
        <v>0</v>
      </c>
    </row>
    <row r="216" spans="1:19">
      <c r="A216" s="3157"/>
      <c r="B216" s="3428"/>
      <c r="C216" s="3156">
        <f t="shared" si="33"/>
        <v>1</v>
      </c>
      <c r="D216" s="3430"/>
      <c r="E216" s="3156">
        <f t="shared" si="34"/>
        <v>0</v>
      </c>
      <c r="F216" s="3430"/>
      <c r="G216" s="3156">
        <f t="shared" si="35"/>
        <v>1</v>
      </c>
      <c r="H216" s="3430"/>
      <c r="I216" s="3156">
        <f t="shared" si="36"/>
        <v>1</v>
      </c>
      <c r="J216" s="3430"/>
      <c r="K216" s="3156">
        <f t="shared" si="37"/>
        <v>1</v>
      </c>
      <c r="L216" s="3430"/>
      <c r="M216" s="3156">
        <f t="shared" si="38"/>
        <v>1</v>
      </c>
      <c r="N216" s="3430"/>
      <c r="O216" s="3156">
        <f t="shared" si="39"/>
        <v>1</v>
      </c>
      <c r="P216" s="3430"/>
      <c r="Q216" s="3156">
        <f t="shared" si="40"/>
        <v>1</v>
      </c>
      <c r="R216" s="3921">
        <f t="shared" si="41"/>
        <v>0</v>
      </c>
      <c r="S216" s="4017">
        <f t="shared" si="42"/>
        <v>0</v>
      </c>
    </row>
    <row r="217" spans="1:19">
      <c r="A217" s="3157"/>
      <c r="B217" s="3428"/>
      <c r="C217" s="3156">
        <f t="shared" si="33"/>
        <v>1</v>
      </c>
      <c r="D217" s="3430"/>
      <c r="E217" s="3156">
        <f t="shared" si="34"/>
        <v>0</v>
      </c>
      <c r="F217" s="3430"/>
      <c r="G217" s="3156">
        <f t="shared" si="35"/>
        <v>1</v>
      </c>
      <c r="H217" s="3430"/>
      <c r="I217" s="3156">
        <f t="shared" si="36"/>
        <v>1</v>
      </c>
      <c r="J217" s="3430"/>
      <c r="K217" s="3156">
        <f t="shared" si="37"/>
        <v>1</v>
      </c>
      <c r="L217" s="3430"/>
      <c r="M217" s="3156">
        <f t="shared" si="38"/>
        <v>1</v>
      </c>
      <c r="N217" s="3430"/>
      <c r="O217" s="3156">
        <f t="shared" si="39"/>
        <v>1</v>
      </c>
      <c r="P217" s="3430"/>
      <c r="Q217" s="3156">
        <f t="shared" si="40"/>
        <v>1</v>
      </c>
      <c r="R217" s="3921">
        <f t="shared" si="41"/>
        <v>0</v>
      </c>
      <c r="S217" s="4017">
        <f t="shared" si="42"/>
        <v>0</v>
      </c>
    </row>
    <row r="218" spans="1:19">
      <c r="A218" s="3157"/>
      <c r="B218" s="3428"/>
      <c r="C218" s="3156">
        <f t="shared" ref="C218:C281" si="43">IF(B218="",1,(LOOKUP(B218,$3:$3,$4:$4)-LOOKUP($B$24,$3:$3,$4:$4)+100)/100)</f>
        <v>1</v>
      </c>
      <c r="D218" s="3430"/>
      <c r="E218" s="3156">
        <f t="shared" ref="E218:E281" si="44">(SUMIF($5:$5,D218,$6:$6)-SUMIF($5:$5,$D$24,$6:$6)+100)/100</f>
        <v>0</v>
      </c>
      <c r="F218" s="3430"/>
      <c r="G218" s="3156">
        <f t="shared" ref="G218:G281" si="45">(SUMIF($7:$7,F218,$8:$8)-SUMIF($7:$7,$F$24,$8:$8)+100)/100</f>
        <v>1</v>
      </c>
      <c r="H218" s="3430"/>
      <c r="I218" s="3156">
        <f t="shared" ref="I218:I281" si="46">(SUMIF($9:$9,H218,$10:$10)-SUMIF($9:$9,$H$24,$10:$10)+100)/100</f>
        <v>1</v>
      </c>
      <c r="J218" s="3430"/>
      <c r="K218" s="3156">
        <f t="shared" ref="K218:K281" si="47">(SUMIF($11:$11,J218,$12:$12)-SUMIF($11:$11,$J$24,$12:$12)+100)/100</f>
        <v>1</v>
      </c>
      <c r="L218" s="3430"/>
      <c r="M218" s="3156">
        <f t="shared" ref="M218:M281" si="48">(SUMIF($13:$13,L218,$14:$14)-SUMIF($13:$13,$L$24,$14:$14)+100)/100</f>
        <v>1</v>
      </c>
      <c r="N218" s="3430"/>
      <c r="O218" s="3156">
        <f t="shared" ref="O218:O281" si="49">(SUMIF($15:$15,N218,$16:$16)-SUMIF($15:$15,$N$24,$16:$16)+100)/100</f>
        <v>1</v>
      </c>
      <c r="P218" s="3430"/>
      <c r="Q218" s="3156">
        <f t="shared" ref="Q218:Q281" si="50">(SUMIF($17:$17,P218,$18:$18)-SUMIF($17:$17,$P$24,$18:$18)+100)/100</f>
        <v>1</v>
      </c>
      <c r="R218" s="3921">
        <f t="shared" ref="R218:R281" si="51">IF(B218="",0,ROUND($R$24*C218*E218*G218*I218*K218*M218*O218*Q218,0))</f>
        <v>0</v>
      </c>
      <c r="S218" s="4017">
        <f t="shared" si="42"/>
        <v>0</v>
      </c>
    </row>
    <row r="219" spans="1:19">
      <c r="A219" s="3157"/>
      <c r="B219" s="3428"/>
      <c r="C219" s="3156">
        <f t="shared" si="43"/>
        <v>1</v>
      </c>
      <c r="D219" s="3430"/>
      <c r="E219" s="3156">
        <f t="shared" si="44"/>
        <v>0</v>
      </c>
      <c r="F219" s="3430"/>
      <c r="G219" s="3156">
        <f t="shared" si="45"/>
        <v>1</v>
      </c>
      <c r="H219" s="3430"/>
      <c r="I219" s="3156">
        <f t="shared" si="46"/>
        <v>1</v>
      </c>
      <c r="J219" s="3430"/>
      <c r="K219" s="3156">
        <f t="shared" si="47"/>
        <v>1</v>
      </c>
      <c r="L219" s="3430"/>
      <c r="M219" s="3156">
        <f t="shared" si="48"/>
        <v>1</v>
      </c>
      <c r="N219" s="3430"/>
      <c r="O219" s="3156">
        <f t="shared" si="49"/>
        <v>1</v>
      </c>
      <c r="P219" s="3430"/>
      <c r="Q219" s="3156">
        <f t="shared" si="50"/>
        <v>1</v>
      </c>
      <c r="R219" s="3921">
        <f t="shared" si="51"/>
        <v>0</v>
      </c>
      <c r="S219" s="4017">
        <f t="shared" si="42"/>
        <v>0</v>
      </c>
    </row>
    <row r="220" spans="1:19">
      <c r="A220" s="3157"/>
      <c r="B220" s="3428"/>
      <c r="C220" s="3156">
        <f t="shared" si="43"/>
        <v>1</v>
      </c>
      <c r="D220" s="3430"/>
      <c r="E220" s="3156">
        <f t="shared" si="44"/>
        <v>0</v>
      </c>
      <c r="F220" s="3430"/>
      <c r="G220" s="3156">
        <f t="shared" si="45"/>
        <v>1</v>
      </c>
      <c r="H220" s="3430"/>
      <c r="I220" s="3156">
        <f t="shared" si="46"/>
        <v>1</v>
      </c>
      <c r="J220" s="3430"/>
      <c r="K220" s="3156">
        <f t="shared" si="47"/>
        <v>1</v>
      </c>
      <c r="L220" s="3430"/>
      <c r="M220" s="3156">
        <f t="shared" si="48"/>
        <v>1</v>
      </c>
      <c r="N220" s="3430"/>
      <c r="O220" s="3156">
        <f t="shared" si="49"/>
        <v>1</v>
      </c>
      <c r="P220" s="3430"/>
      <c r="Q220" s="3156">
        <f t="shared" si="50"/>
        <v>1</v>
      </c>
      <c r="R220" s="3921">
        <f t="shared" si="51"/>
        <v>0</v>
      </c>
      <c r="S220" s="4017">
        <f t="shared" si="42"/>
        <v>0</v>
      </c>
    </row>
    <row r="221" spans="1:19">
      <c r="A221" s="3157"/>
      <c r="B221" s="3428"/>
      <c r="C221" s="3156">
        <f t="shared" si="43"/>
        <v>1</v>
      </c>
      <c r="D221" s="3430"/>
      <c r="E221" s="3156">
        <f t="shared" si="44"/>
        <v>0</v>
      </c>
      <c r="F221" s="3430"/>
      <c r="G221" s="3156">
        <f t="shared" si="45"/>
        <v>1</v>
      </c>
      <c r="H221" s="3430"/>
      <c r="I221" s="3156">
        <f t="shared" si="46"/>
        <v>1</v>
      </c>
      <c r="J221" s="3430"/>
      <c r="K221" s="3156">
        <f t="shared" si="47"/>
        <v>1</v>
      </c>
      <c r="L221" s="3430"/>
      <c r="M221" s="3156">
        <f t="shared" si="48"/>
        <v>1</v>
      </c>
      <c r="N221" s="3430"/>
      <c r="O221" s="3156">
        <f t="shared" si="49"/>
        <v>1</v>
      </c>
      <c r="P221" s="3430"/>
      <c r="Q221" s="3156">
        <f t="shared" si="50"/>
        <v>1</v>
      </c>
      <c r="R221" s="3921">
        <f t="shared" si="51"/>
        <v>0</v>
      </c>
      <c r="S221" s="4017">
        <f t="shared" si="42"/>
        <v>0</v>
      </c>
    </row>
    <row r="222" spans="1:19">
      <c r="A222" s="3157"/>
      <c r="B222" s="3428"/>
      <c r="C222" s="3156">
        <f t="shared" si="43"/>
        <v>1</v>
      </c>
      <c r="D222" s="3430"/>
      <c r="E222" s="3156">
        <f t="shared" si="44"/>
        <v>0</v>
      </c>
      <c r="F222" s="3430"/>
      <c r="G222" s="3156">
        <f t="shared" si="45"/>
        <v>1</v>
      </c>
      <c r="H222" s="3430"/>
      <c r="I222" s="3156">
        <f t="shared" si="46"/>
        <v>1</v>
      </c>
      <c r="J222" s="3430"/>
      <c r="K222" s="3156">
        <f t="shared" si="47"/>
        <v>1</v>
      </c>
      <c r="L222" s="3430"/>
      <c r="M222" s="3156">
        <f t="shared" si="48"/>
        <v>1</v>
      </c>
      <c r="N222" s="3430"/>
      <c r="O222" s="3156">
        <f t="shared" si="49"/>
        <v>1</v>
      </c>
      <c r="P222" s="3430"/>
      <c r="Q222" s="3156">
        <f t="shared" si="50"/>
        <v>1</v>
      </c>
      <c r="R222" s="3921">
        <f t="shared" si="51"/>
        <v>0</v>
      </c>
      <c r="S222" s="4017">
        <f t="shared" si="42"/>
        <v>0</v>
      </c>
    </row>
    <row r="223" spans="1:19">
      <c r="A223" s="3157"/>
      <c r="B223" s="3428"/>
      <c r="C223" s="3156">
        <f t="shared" si="43"/>
        <v>1</v>
      </c>
      <c r="D223" s="3430"/>
      <c r="E223" s="3156">
        <f t="shared" si="44"/>
        <v>0</v>
      </c>
      <c r="F223" s="3430"/>
      <c r="G223" s="3156">
        <f t="shared" si="45"/>
        <v>1</v>
      </c>
      <c r="H223" s="3430"/>
      <c r="I223" s="3156">
        <f t="shared" si="46"/>
        <v>1</v>
      </c>
      <c r="J223" s="3430"/>
      <c r="K223" s="3156">
        <f t="shared" si="47"/>
        <v>1</v>
      </c>
      <c r="L223" s="3430"/>
      <c r="M223" s="3156">
        <f t="shared" si="48"/>
        <v>1</v>
      </c>
      <c r="N223" s="3430"/>
      <c r="O223" s="3156">
        <f t="shared" si="49"/>
        <v>1</v>
      </c>
      <c r="P223" s="3430"/>
      <c r="Q223" s="3156">
        <f t="shared" si="50"/>
        <v>1</v>
      </c>
      <c r="R223" s="3921">
        <f t="shared" si="51"/>
        <v>0</v>
      </c>
      <c r="S223" s="4017">
        <f t="shared" ref="S223:S286" si="52">ROUND(R223*B223/10000,0)</f>
        <v>0</v>
      </c>
    </row>
    <row r="224" spans="1:19">
      <c r="A224" s="3157"/>
      <c r="B224" s="3428"/>
      <c r="C224" s="3156">
        <f t="shared" si="43"/>
        <v>1</v>
      </c>
      <c r="D224" s="3430"/>
      <c r="E224" s="3156">
        <f t="shared" si="44"/>
        <v>0</v>
      </c>
      <c r="F224" s="3430"/>
      <c r="G224" s="3156">
        <f t="shared" si="45"/>
        <v>1</v>
      </c>
      <c r="H224" s="3430"/>
      <c r="I224" s="3156">
        <f t="shared" si="46"/>
        <v>1</v>
      </c>
      <c r="J224" s="3430"/>
      <c r="K224" s="3156">
        <f t="shared" si="47"/>
        <v>1</v>
      </c>
      <c r="L224" s="3430"/>
      <c r="M224" s="3156">
        <f t="shared" si="48"/>
        <v>1</v>
      </c>
      <c r="N224" s="3430"/>
      <c r="O224" s="3156">
        <f t="shared" si="49"/>
        <v>1</v>
      </c>
      <c r="P224" s="3430"/>
      <c r="Q224" s="3156">
        <f t="shared" si="50"/>
        <v>1</v>
      </c>
      <c r="R224" s="3921">
        <f t="shared" si="51"/>
        <v>0</v>
      </c>
      <c r="S224" s="4017">
        <f t="shared" si="52"/>
        <v>0</v>
      </c>
    </row>
    <row r="225" spans="1:19">
      <c r="A225" s="3157"/>
      <c r="B225" s="3428"/>
      <c r="C225" s="3156">
        <f t="shared" si="43"/>
        <v>1</v>
      </c>
      <c r="D225" s="3430"/>
      <c r="E225" s="3156">
        <f t="shared" si="44"/>
        <v>0</v>
      </c>
      <c r="F225" s="3430"/>
      <c r="G225" s="3156">
        <f t="shared" si="45"/>
        <v>1</v>
      </c>
      <c r="H225" s="3430"/>
      <c r="I225" s="3156">
        <f t="shared" si="46"/>
        <v>1</v>
      </c>
      <c r="J225" s="3430"/>
      <c r="K225" s="3156">
        <f t="shared" si="47"/>
        <v>1</v>
      </c>
      <c r="L225" s="3430"/>
      <c r="M225" s="3156">
        <f t="shared" si="48"/>
        <v>1</v>
      </c>
      <c r="N225" s="3430"/>
      <c r="O225" s="3156">
        <f t="shared" si="49"/>
        <v>1</v>
      </c>
      <c r="P225" s="3430"/>
      <c r="Q225" s="3156">
        <f t="shared" si="50"/>
        <v>1</v>
      </c>
      <c r="R225" s="3921">
        <f t="shared" si="51"/>
        <v>0</v>
      </c>
      <c r="S225" s="4017">
        <f t="shared" si="52"/>
        <v>0</v>
      </c>
    </row>
    <row r="226" spans="1:19">
      <c r="A226" s="3157"/>
      <c r="B226" s="3428"/>
      <c r="C226" s="3156">
        <f t="shared" si="43"/>
        <v>1</v>
      </c>
      <c r="D226" s="3430"/>
      <c r="E226" s="3156">
        <f t="shared" si="44"/>
        <v>0</v>
      </c>
      <c r="F226" s="3430"/>
      <c r="G226" s="3156">
        <f t="shared" si="45"/>
        <v>1</v>
      </c>
      <c r="H226" s="3430"/>
      <c r="I226" s="3156">
        <f t="shared" si="46"/>
        <v>1</v>
      </c>
      <c r="J226" s="3430"/>
      <c r="K226" s="3156">
        <f t="shared" si="47"/>
        <v>1</v>
      </c>
      <c r="L226" s="3430"/>
      <c r="M226" s="3156">
        <f t="shared" si="48"/>
        <v>1</v>
      </c>
      <c r="N226" s="3430"/>
      <c r="O226" s="3156">
        <f t="shared" si="49"/>
        <v>1</v>
      </c>
      <c r="P226" s="3430"/>
      <c r="Q226" s="3156">
        <f t="shared" si="50"/>
        <v>1</v>
      </c>
      <c r="R226" s="3921">
        <f t="shared" si="51"/>
        <v>0</v>
      </c>
      <c r="S226" s="4017">
        <f t="shared" si="52"/>
        <v>0</v>
      </c>
    </row>
    <row r="227" spans="1:19">
      <c r="A227" s="3157"/>
      <c r="B227" s="3428"/>
      <c r="C227" s="3156">
        <f t="shared" si="43"/>
        <v>1</v>
      </c>
      <c r="D227" s="3430"/>
      <c r="E227" s="3156">
        <f t="shared" si="44"/>
        <v>0</v>
      </c>
      <c r="F227" s="3430"/>
      <c r="G227" s="3156">
        <f t="shared" si="45"/>
        <v>1</v>
      </c>
      <c r="H227" s="3430"/>
      <c r="I227" s="3156">
        <f t="shared" si="46"/>
        <v>1</v>
      </c>
      <c r="J227" s="3430"/>
      <c r="K227" s="3156">
        <f t="shared" si="47"/>
        <v>1</v>
      </c>
      <c r="L227" s="3430"/>
      <c r="M227" s="3156">
        <f t="shared" si="48"/>
        <v>1</v>
      </c>
      <c r="N227" s="3430"/>
      <c r="O227" s="3156">
        <f t="shared" si="49"/>
        <v>1</v>
      </c>
      <c r="P227" s="3430"/>
      <c r="Q227" s="3156">
        <f t="shared" si="50"/>
        <v>1</v>
      </c>
      <c r="R227" s="3921">
        <f t="shared" si="51"/>
        <v>0</v>
      </c>
      <c r="S227" s="4017">
        <f t="shared" si="52"/>
        <v>0</v>
      </c>
    </row>
    <row r="228" spans="1:19">
      <c r="A228" s="3157"/>
      <c r="B228" s="3428"/>
      <c r="C228" s="3156">
        <f t="shared" si="43"/>
        <v>1</v>
      </c>
      <c r="D228" s="3430"/>
      <c r="E228" s="3156">
        <f t="shared" si="44"/>
        <v>0</v>
      </c>
      <c r="F228" s="3430"/>
      <c r="G228" s="3156">
        <f t="shared" si="45"/>
        <v>1</v>
      </c>
      <c r="H228" s="3430"/>
      <c r="I228" s="3156">
        <f t="shared" si="46"/>
        <v>1</v>
      </c>
      <c r="J228" s="3430"/>
      <c r="K228" s="3156">
        <f t="shared" si="47"/>
        <v>1</v>
      </c>
      <c r="L228" s="3430"/>
      <c r="M228" s="3156">
        <f t="shared" si="48"/>
        <v>1</v>
      </c>
      <c r="N228" s="3430"/>
      <c r="O228" s="3156">
        <f t="shared" si="49"/>
        <v>1</v>
      </c>
      <c r="P228" s="3430"/>
      <c r="Q228" s="3156">
        <f t="shared" si="50"/>
        <v>1</v>
      </c>
      <c r="R228" s="3921">
        <f t="shared" si="51"/>
        <v>0</v>
      </c>
      <c r="S228" s="4017">
        <f t="shared" si="52"/>
        <v>0</v>
      </c>
    </row>
    <row r="229" spans="1:19">
      <c r="A229" s="3157"/>
      <c r="B229" s="3428"/>
      <c r="C229" s="3156">
        <f t="shared" si="43"/>
        <v>1</v>
      </c>
      <c r="D229" s="3430"/>
      <c r="E229" s="3156">
        <f t="shared" si="44"/>
        <v>0</v>
      </c>
      <c r="F229" s="3430"/>
      <c r="G229" s="3156">
        <f t="shared" si="45"/>
        <v>1</v>
      </c>
      <c r="H229" s="3430"/>
      <c r="I229" s="3156">
        <f t="shared" si="46"/>
        <v>1</v>
      </c>
      <c r="J229" s="3430"/>
      <c r="K229" s="3156">
        <f t="shared" si="47"/>
        <v>1</v>
      </c>
      <c r="L229" s="3430"/>
      <c r="M229" s="3156">
        <f t="shared" si="48"/>
        <v>1</v>
      </c>
      <c r="N229" s="3430"/>
      <c r="O229" s="3156">
        <f t="shared" si="49"/>
        <v>1</v>
      </c>
      <c r="P229" s="3430"/>
      <c r="Q229" s="3156">
        <f t="shared" si="50"/>
        <v>1</v>
      </c>
      <c r="R229" s="3921">
        <f t="shared" si="51"/>
        <v>0</v>
      </c>
      <c r="S229" s="4017">
        <f t="shared" si="52"/>
        <v>0</v>
      </c>
    </row>
    <row r="230" spans="1:19">
      <c r="A230" s="3157"/>
      <c r="B230" s="3428"/>
      <c r="C230" s="3156">
        <f t="shared" si="43"/>
        <v>1</v>
      </c>
      <c r="D230" s="3430"/>
      <c r="E230" s="3156">
        <f t="shared" si="44"/>
        <v>0</v>
      </c>
      <c r="F230" s="3430"/>
      <c r="G230" s="3156">
        <f t="shared" si="45"/>
        <v>1</v>
      </c>
      <c r="H230" s="3430"/>
      <c r="I230" s="3156">
        <f t="shared" si="46"/>
        <v>1</v>
      </c>
      <c r="J230" s="3430"/>
      <c r="K230" s="3156">
        <f t="shared" si="47"/>
        <v>1</v>
      </c>
      <c r="L230" s="3430"/>
      <c r="M230" s="3156">
        <f t="shared" si="48"/>
        <v>1</v>
      </c>
      <c r="N230" s="3430"/>
      <c r="O230" s="3156">
        <f t="shared" si="49"/>
        <v>1</v>
      </c>
      <c r="P230" s="3430"/>
      <c r="Q230" s="3156">
        <f t="shared" si="50"/>
        <v>1</v>
      </c>
      <c r="R230" s="3921">
        <f t="shared" si="51"/>
        <v>0</v>
      </c>
      <c r="S230" s="4017">
        <f t="shared" si="52"/>
        <v>0</v>
      </c>
    </row>
    <row r="231" spans="1:19">
      <c r="A231" s="3157"/>
      <c r="B231" s="3428"/>
      <c r="C231" s="3156">
        <f t="shared" si="43"/>
        <v>1</v>
      </c>
      <c r="D231" s="3430"/>
      <c r="E231" s="3156">
        <f t="shared" si="44"/>
        <v>0</v>
      </c>
      <c r="F231" s="3430"/>
      <c r="G231" s="3156">
        <f t="shared" si="45"/>
        <v>1</v>
      </c>
      <c r="H231" s="3430"/>
      <c r="I231" s="3156">
        <f t="shared" si="46"/>
        <v>1</v>
      </c>
      <c r="J231" s="3430"/>
      <c r="K231" s="3156">
        <f t="shared" si="47"/>
        <v>1</v>
      </c>
      <c r="L231" s="3430"/>
      <c r="M231" s="3156">
        <f t="shared" si="48"/>
        <v>1</v>
      </c>
      <c r="N231" s="3430"/>
      <c r="O231" s="3156">
        <f t="shared" si="49"/>
        <v>1</v>
      </c>
      <c r="P231" s="3430"/>
      <c r="Q231" s="3156">
        <f t="shared" si="50"/>
        <v>1</v>
      </c>
      <c r="R231" s="3921">
        <f t="shared" si="51"/>
        <v>0</v>
      </c>
      <c r="S231" s="4017">
        <f t="shared" si="52"/>
        <v>0</v>
      </c>
    </row>
    <row r="232" spans="1:19">
      <c r="A232" s="3157"/>
      <c r="B232" s="3428"/>
      <c r="C232" s="3156">
        <f t="shared" si="43"/>
        <v>1</v>
      </c>
      <c r="D232" s="3430"/>
      <c r="E232" s="3156">
        <f t="shared" si="44"/>
        <v>0</v>
      </c>
      <c r="F232" s="3430"/>
      <c r="G232" s="3156">
        <f t="shared" si="45"/>
        <v>1</v>
      </c>
      <c r="H232" s="3430"/>
      <c r="I232" s="3156">
        <f t="shared" si="46"/>
        <v>1</v>
      </c>
      <c r="J232" s="3430"/>
      <c r="K232" s="3156">
        <f t="shared" si="47"/>
        <v>1</v>
      </c>
      <c r="L232" s="3430"/>
      <c r="M232" s="3156">
        <f t="shared" si="48"/>
        <v>1</v>
      </c>
      <c r="N232" s="3430"/>
      <c r="O232" s="3156">
        <f t="shared" si="49"/>
        <v>1</v>
      </c>
      <c r="P232" s="3430"/>
      <c r="Q232" s="3156">
        <f t="shared" si="50"/>
        <v>1</v>
      </c>
      <c r="R232" s="3921">
        <f t="shared" si="51"/>
        <v>0</v>
      </c>
      <c r="S232" s="4017">
        <f t="shared" si="52"/>
        <v>0</v>
      </c>
    </row>
    <row r="233" spans="1:19">
      <c r="A233" s="3157"/>
      <c r="B233" s="3428"/>
      <c r="C233" s="3156">
        <f t="shared" si="43"/>
        <v>1</v>
      </c>
      <c r="D233" s="3430"/>
      <c r="E233" s="3156">
        <f t="shared" si="44"/>
        <v>0</v>
      </c>
      <c r="F233" s="3430"/>
      <c r="G233" s="3156">
        <f t="shared" si="45"/>
        <v>1</v>
      </c>
      <c r="H233" s="3430"/>
      <c r="I233" s="3156">
        <f t="shared" si="46"/>
        <v>1</v>
      </c>
      <c r="J233" s="3430"/>
      <c r="K233" s="3156">
        <f t="shared" si="47"/>
        <v>1</v>
      </c>
      <c r="L233" s="3430"/>
      <c r="M233" s="3156">
        <f t="shared" si="48"/>
        <v>1</v>
      </c>
      <c r="N233" s="3430"/>
      <c r="O233" s="3156">
        <f t="shared" si="49"/>
        <v>1</v>
      </c>
      <c r="P233" s="3430"/>
      <c r="Q233" s="3156">
        <f t="shared" si="50"/>
        <v>1</v>
      </c>
      <c r="R233" s="3921">
        <f t="shared" si="51"/>
        <v>0</v>
      </c>
      <c r="S233" s="4017">
        <f t="shared" si="52"/>
        <v>0</v>
      </c>
    </row>
    <row r="234" spans="1:19">
      <c r="A234" s="3157"/>
      <c r="B234" s="3428"/>
      <c r="C234" s="3156">
        <f t="shared" si="43"/>
        <v>1</v>
      </c>
      <c r="D234" s="3430"/>
      <c r="E234" s="3156">
        <f t="shared" si="44"/>
        <v>0</v>
      </c>
      <c r="F234" s="3430"/>
      <c r="G234" s="3156">
        <f t="shared" si="45"/>
        <v>1</v>
      </c>
      <c r="H234" s="3430"/>
      <c r="I234" s="3156">
        <f t="shared" si="46"/>
        <v>1</v>
      </c>
      <c r="J234" s="3430"/>
      <c r="K234" s="3156">
        <f t="shared" si="47"/>
        <v>1</v>
      </c>
      <c r="L234" s="3430"/>
      <c r="M234" s="3156">
        <f t="shared" si="48"/>
        <v>1</v>
      </c>
      <c r="N234" s="3430"/>
      <c r="O234" s="3156">
        <f t="shared" si="49"/>
        <v>1</v>
      </c>
      <c r="P234" s="3430"/>
      <c r="Q234" s="3156">
        <f t="shared" si="50"/>
        <v>1</v>
      </c>
      <c r="R234" s="3921">
        <f t="shared" si="51"/>
        <v>0</v>
      </c>
      <c r="S234" s="4017">
        <f t="shared" si="52"/>
        <v>0</v>
      </c>
    </row>
    <row r="235" spans="1:19">
      <c r="A235" s="3157"/>
      <c r="B235" s="3428"/>
      <c r="C235" s="3156">
        <f t="shared" si="43"/>
        <v>1</v>
      </c>
      <c r="D235" s="3430"/>
      <c r="E235" s="3156">
        <f t="shared" si="44"/>
        <v>0</v>
      </c>
      <c r="F235" s="3430"/>
      <c r="G235" s="3156">
        <f t="shared" si="45"/>
        <v>1</v>
      </c>
      <c r="H235" s="3430"/>
      <c r="I235" s="3156">
        <f t="shared" si="46"/>
        <v>1</v>
      </c>
      <c r="J235" s="3430"/>
      <c r="K235" s="3156">
        <f t="shared" si="47"/>
        <v>1</v>
      </c>
      <c r="L235" s="3430"/>
      <c r="M235" s="3156">
        <f t="shared" si="48"/>
        <v>1</v>
      </c>
      <c r="N235" s="3430"/>
      <c r="O235" s="3156">
        <f t="shared" si="49"/>
        <v>1</v>
      </c>
      <c r="P235" s="3430"/>
      <c r="Q235" s="3156">
        <f t="shared" si="50"/>
        <v>1</v>
      </c>
      <c r="R235" s="3921">
        <f t="shared" si="51"/>
        <v>0</v>
      </c>
      <c r="S235" s="4017">
        <f t="shared" si="52"/>
        <v>0</v>
      </c>
    </row>
    <row r="236" spans="1:19">
      <c r="A236" s="3157"/>
      <c r="B236" s="3428"/>
      <c r="C236" s="3156">
        <f t="shared" si="43"/>
        <v>1</v>
      </c>
      <c r="D236" s="3430"/>
      <c r="E236" s="3156">
        <f t="shared" si="44"/>
        <v>0</v>
      </c>
      <c r="F236" s="3430"/>
      <c r="G236" s="3156">
        <f t="shared" si="45"/>
        <v>1</v>
      </c>
      <c r="H236" s="3430"/>
      <c r="I236" s="3156">
        <f t="shared" si="46"/>
        <v>1</v>
      </c>
      <c r="J236" s="3430"/>
      <c r="K236" s="3156">
        <f t="shared" si="47"/>
        <v>1</v>
      </c>
      <c r="L236" s="3430"/>
      <c r="M236" s="3156">
        <f t="shared" si="48"/>
        <v>1</v>
      </c>
      <c r="N236" s="3430"/>
      <c r="O236" s="3156">
        <f t="shared" si="49"/>
        <v>1</v>
      </c>
      <c r="P236" s="3430"/>
      <c r="Q236" s="3156">
        <f t="shared" si="50"/>
        <v>1</v>
      </c>
      <c r="R236" s="3921">
        <f t="shared" si="51"/>
        <v>0</v>
      </c>
      <c r="S236" s="4017">
        <f t="shared" si="52"/>
        <v>0</v>
      </c>
    </row>
    <row r="237" spans="1:19">
      <c r="A237" s="3157"/>
      <c r="B237" s="3428"/>
      <c r="C237" s="3156">
        <f t="shared" si="43"/>
        <v>1</v>
      </c>
      <c r="D237" s="3430"/>
      <c r="E237" s="3156">
        <f t="shared" si="44"/>
        <v>0</v>
      </c>
      <c r="F237" s="3430"/>
      <c r="G237" s="3156">
        <f t="shared" si="45"/>
        <v>1</v>
      </c>
      <c r="H237" s="3430"/>
      <c r="I237" s="3156">
        <f t="shared" si="46"/>
        <v>1</v>
      </c>
      <c r="J237" s="3430"/>
      <c r="K237" s="3156">
        <f t="shared" si="47"/>
        <v>1</v>
      </c>
      <c r="L237" s="3430"/>
      <c r="M237" s="3156">
        <f t="shared" si="48"/>
        <v>1</v>
      </c>
      <c r="N237" s="3430"/>
      <c r="O237" s="3156">
        <f t="shared" si="49"/>
        <v>1</v>
      </c>
      <c r="P237" s="3430"/>
      <c r="Q237" s="3156">
        <f t="shared" si="50"/>
        <v>1</v>
      </c>
      <c r="R237" s="3921">
        <f t="shared" si="51"/>
        <v>0</v>
      </c>
      <c r="S237" s="4017">
        <f t="shared" si="52"/>
        <v>0</v>
      </c>
    </row>
    <row r="238" spans="1:19">
      <c r="A238" s="3157"/>
      <c r="B238" s="3428"/>
      <c r="C238" s="3156">
        <f t="shared" si="43"/>
        <v>1</v>
      </c>
      <c r="D238" s="3430"/>
      <c r="E238" s="3156">
        <f t="shared" si="44"/>
        <v>0</v>
      </c>
      <c r="F238" s="3430"/>
      <c r="G238" s="3156">
        <f t="shared" si="45"/>
        <v>1</v>
      </c>
      <c r="H238" s="3430"/>
      <c r="I238" s="3156">
        <f t="shared" si="46"/>
        <v>1</v>
      </c>
      <c r="J238" s="3430"/>
      <c r="K238" s="3156">
        <f t="shared" si="47"/>
        <v>1</v>
      </c>
      <c r="L238" s="3430"/>
      <c r="M238" s="3156">
        <f t="shared" si="48"/>
        <v>1</v>
      </c>
      <c r="N238" s="3430"/>
      <c r="O238" s="3156">
        <f t="shared" si="49"/>
        <v>1</v>
      </c>
      <c r="P238" s="3430"/>
      <c r="Q238" s="3156">
        <f t="shared" si="50"/>
        <v>1</v>
      </c>
      <c r="R238" s="3921">
        <f t="shared" si="51"/>
        <v>0</v>
      </c>
      <c r="S238" s="4017">
        <f t="shared" si="52"/>
        <v>0</v>
      </c>
    </row>
    <row r="239" spans="1:19">
      <c r="A239" s="3157"/>
      <c r="B239" s="3428"/>
      <c r="C239" s="3156">
        <f t="shared" si="43"/>
        <v>1</v>
      </c>
      <c r="D239" s="3430"/>
      <c r="E239" s="3156">
        <f t="shared" si="44"/>
        <v>0</v>
      </c>
      <c r="F239" s="3430"/>
      <c r="G239" s="3156">
        <f t="shared" si="45"/>
        <v>1</v>
      </c>
      <c r="H239" s="3430"/>
      <c r="I239" s="3156">
        <f t="shared" si="46"/>
        <v>1</v>
      </c>
      <c r="J239" s="3430"/>
      <c r="K239" s="3156">
        <f t="shared" si="47"/>
        <v>1</v>
      </c>
      <c r="L239" s="3430"/>
      <c r="M239" s="3156">
        <f t="shared" si="48"/>
        <v>1</v>
      </c>
      <c r="N239" s="3430"/>
      <c r="O239" s="3156">
        <f t="shared" si="49"/>
        <v>1</v>
      </c>
      <c r="P239" s="3430"/>
      <c r="Q239" s="3156">
        <f t="shared" si="50"/>
        <v>1</v>
      </c>
      <c r="R239" s="3921">
        <f t="shared" si="51"/>
        <v>0</v>
      </c>
      <c r="S239" s="4017">
        <f t="shared" si="52"/>
        <v>0</v>
      </c>
    </row>
    <row r="240" spans="1:19">
      <c r="A240" s="3157"/>
      <c r="B240" s="3428"/>
      <c r="C240" s="3156">
        <f t="shared" si="43"/>
        <v>1</v>
      </c>
      <c r="D240" s="3430"/>
      <c r="E240" s="3156">
        <f t="shared" si="44"/>
        <v>0</v>
      </c>
      <c r="F240" s="3430"/>
      <c r="G240" s="3156">
        <f t="shared" si="45"/>
        <v>1</v>
      </c>
      <c r="H240" s="3430"/>
      <c r="I240" s="3156">
        <f t="shared" si="46"/>
        <v>1</v>
      </c>
      <c r="J240" s="3430"/>
      <c r="K240" s="3156">
        <f t="shared" si="47"/>
        <v>1</v>
      </c>
      <c r="L240" s="3430"/>
      <c r="M240" s="3156">
        <f t="shared" si="48"/>
        <v>1</v>
      </c>
      <c r="N240" s="3430"/>
      <c r="O240" s="3156">
        <f t="shared" si="49"/>
        <v>1</v>
      </c>
      <c r="P240" s="3430"/>
      <c r="Q240" s="3156">
        <f t="shared" si="50"/>
        <v>1</v>
      </c>
      <c r="R240" s="3921">
        <f t="shared" si="51"/>
        <v>0</v>
      </c>
      <c r="S240" s="4017">
        <f t="shared" si="52"/>
        <v>0</v>
      </c>
    </row>
    <row r="241" spans="1:19">
      <c r="A241" s="3157"/>
      <c r="B241" s="3428"/>
      <c r="C241" s="3156">
        <f t="shared" si="43"/>
        <v>1</v>
      </c>
      <c r="D241" s="3430"/>
      <c r="E241" s="3156">
        <f t="shared" si="44"/>
        <v>0</v>
      </c>
      <c r="F241" s="3430"/>
      <c r="G241" s="3156">
        <f t="shared" si="45"/>
        <v>1</v>
      </c>
      <c r="H241" s="3430"/>
      <c r="I241" s="3156">
        <f t="shared" si="46"/>
        <v>1</v>
      </c>
      <c r="J241" s="3430"/>
      <c r="K241" s="3156">
        <f t="shared" si="47"/>
        <v>1</v>
      </c>
      <c r="L241" s="3430"/>
      <c r="M241" s="3156">
        <f t="shared" si="48"/>
        <v>1</v>
      </c>
      <c r="N241" s="3430"/>
      <c r="O241" s="3156">
        <f t="shared" si="49"/>
        <v>1</v>
      </c>
      <c r="P241" s="3430"/>
      <c r="Q241" s="3156">
        <f t="shared" si="50"/>
        <v>1</v>
      </c>
      <c r="R241" s="3921">
        <f t="shared" si="51"/>
        <v>0</v>
      </c>
      <c r="S241" s="4017">
        <f t="shared" si="52"/>
        <v>0</v>
      </c>
    </row>
    <row r="242" spans="1:19">
      <c r="A242" s="3157"/>
      <c r="B242" s="3428"/>
      <c r="C242" s="3156">
        <f t="shared" si="43"/>
        <v>1</v>
      </c>
      <c r="D242" s="3430"/>
      <c r="E242" s="3156">
        <f t="shared" si="44"/>
        <v>0</v>
      </c>
      <c r="F242" s="3430"/>
      <c r="G242" s="3156">
        <f t="shared" si="45"/>
        <v>1</v>
      </c>
      <c r="H242" s="3430"/>
      <c r="I242" s="3156">
        <f t="shared" si="46"/>
        <v>1</v>
      </c>
      <c r="J242" s="3430"/>
      <c r="K242" s="3156">
        <f t="shared" si="47"/>
        <v>1</v>
      </c>
      <c r="L242" s="3430"/>
      <c r="M242" s="3156">
        <f t="shared" si="48"/>
        <v>1</v>
      </c>
      <c r="N242" s="3430"/>
      <c r="O242" s="3156">
        <f t="shared" si="49"/>
        <v>1</v>
      </c>
      <c r="P242" s="3430"/>
      <c r="Q242" s="3156">
        <f t="shared" si="50"/>
        <v>1</v>
      </c>
      <c r="R242" s="3921">
        <f t="shared" si="51"/>
        <v>0</v>
      </c>
      <c r="S242" s="4017">
        <f t="shared" si="52"/>
        <v>0</v>
      </c>
    </row>
    <row r="243" spans="1:19">
      <c r="A243" s="3157"/>
      <c r="B243" s="3428"/>
      <c r="C243" s="3156">
        <f t="shared" si="43"/>
        <v>1</v>
      </c>
      <c r="D243" s="3430"/>
      <c r="E243" s="3156">
        <f t="shared" si="44"/>
        <v>0</v>
      </c>
      <c r="F243" s="3430"/>
      <c r="G243" s="3156">
        <f t="shared" si="45"/>
        <v>1</v>
      </c>
      <c r="H243" s="3430"/>
      <c r="I243" s="3156">
        <f t="shared" si="46"/>
        <v>1</v>
      </c>
      <c r="J243" s="3430"/>
      <c r="K243" s="3156">
        <f t="shared" si="47"/>
        <v>1</v>
      </c>
      <c r="L243" s="3430"/>
      <c r="M243" s="3156">
        <f t="shared" si="48"/>
        <v>1</v>
      </c>
      <c r="N243" s="3430"/>
      <c r="O243" s="3156">
        <f t="shared" si="49"/>
        <v>1</v>
      </c>
      <c r="P243" s="3430"/>
      <c r="Q243" s="3156">
        <f t="shared" si="50"/>
        <v>1</v>
      </c>
      <c r="R243" s="3921">
        <f t="shared" si="51"/>
        <v>0</v>
      </c>
      <c r="S243" s="4017">
        <f t="shared" si="52"/>
        <v>0</v>
      </c>
    </row>
    <row r="244" spans="1:19">
      <c r="A244" s="3157"/>
      <c r="B244" s="3428"/>
      <c r="C244" s="3156">
        <f t="shared" si="43"/>
        <v>1</v>
      </c>
      <c r="D244" s="3430"/>
      <c r="E244" s="3156">
        <f t="shared" si="44"/>
        <v>0</v>
      </c>
      <c r="F244" s="3430"/>
      <c r="G244" s="3156">
        <f t="shared" si="45"/>
        <v>1</v>
      </c>
      <c r="H244" s="3430"/>
      <c r="I244" s="3156">
        <f t="shared" si="46"/>
        <v>1</v>
      </c>
      <c r="J244" s="3430"/>
      <c r="K244" s="3156">
        <f t="shared" si="47"/>
        <v>1</v>
      </c>
      <c r="L244" s="3430"/>
      <c r="M244" s="3156">
        <f t="shared" si="48"/>
        <v>1</v>
      </c>
      <c r="N244" s="3430"/>
      <c r="O244" s="3156">
        <f t="shared" si="49"/>
        <v>1</v>
      </c>
      <c r="P244" s="3430"/>
      <c r="Q244" s="3156">
        <f t="shared" si="50"/>
        <v>1</v>
      </c>
      <c r="R244" s="3921">
        <f t="shared" si="51"/>
        <v>0</v>
      </c>
      <c r="S244" s="4017">
        <f t="shared" si="52"/>
        <v>0</v>
      </c>
    </row>
    <row r="245" spans="1:19">
      <c r="A245" s="3157"/>
      <c r="B245" s="3428"/>
      <c r="C245" s="3156">
        <f t="shared" si="43"/>
        <v>1</v>
      </c>
      <c r="D245" s="3430"/>
      <c r="E245" s="3156">
        <f t="shared" si="44"/>
        <v>0</v>
      </c>
      <c r="F245" s="3430"/>
      <c r="G245" s="3156">
        <f t="shared" si="45"/>
        <v>1</v>
      </c>
      <c r="H245" s="3430"/>
      <c r="I245" s="3156">
        <f t="shared" si="46"/>
        <v>1</v>
      </c>
      <c r="J245" s="3430"/>
      <c r="K245" s="3156">
        <f t="shared" si="47"/>
        <v>1</v>
      </c>
      <c r="L245" s="3430"/>
      <c r="M245" s="3156">
        <f t="shared" si="48"/>
        <v>1</v>
      </c>
      <c r="N245" s="3430"/>
      <c r="O245" s="3156">
        <f t="shared" si="49"/>
        <v>1</v>
      </c>
      <c r="P245" s="3430"/>
      <c r="Q245" s="3156">
        <f t="shared" si="50"/>
        <v>1</v>
      </c>
      <c r="R245" s="3921">
        <f t="shared" si="51"/>
        <v>0</v>
      </c>
      <c r="S245" s="4017">
        <f t="shared" si="52"/>
        <v>0</v>
      </c>
    </row>
    <row r="246" spans="1:19">
      <c r="A246" s="3157"/>
      <c r="B246" s="3428"/>
      <c r="C246" s="3156">
        <f t="shared" si="43"/>
        <v>1</v>
      </c>
      <c r="D246" s="3430"/>
      <c r="E246" s="3156">
        <f t="shared" si="44"/>
        <v>0</v>
      </c>
      <c r="F246" s="3430"/>
      <c r="G246" s="3156">
        <f t="shared" si="45"/>
        <v>1</v>
      </c>
      <c r="H246" s="3430"/>
      <c r="I246" s="3156">
        <f t="shared" si="46"/>
        <v>1</v>
      </c>
      <c r="J246" s="3430"/>
      <c r="K246" s="3156">
        <f t="shared" si="47"/>
        <v>1</v>
      </c>
      <c r="L246" s="3430"/>
      <c r="M246" s="3156">
        <f t="shared" si="48"/>
        <v>1</v>
      </c>
      <c r="N246" s="3430"/>
      <c r="O246" s="3156">
        <f t="shared" si="49"/>
        <v>1</v>
      </c>
      <c r="P246" s="3430"/>
      <c r="Q246" s="3156">
        <f t="shared" si="50"/>
        <v>1</v>
      </c>
      <c r="R246" s="3921">
        <f t="shared" si="51"/>
        <v>0</v>
      </c>
      <c r="S246" s="4017">
        <f t="shared" si="52"/>
        <v>0</v>
      </c>
    </row>
    <row r="247" spans="1:19">
      <c r="A247" s="3157"/>
      <c r="B247" s="3428"/>
      <c r="C247" s="3156">
        <f t="shared" si="43"/>
        <v>1</v>
      </c>
      <c r="D247" s="3430"/>
      <c r="E247" s="3156">
        <f t="shared" si="44"/>
        <v>0</v>
      </c>
      <c r="F247" s="3430"/>
      <c r="G247" s="3156">
        <f t="shared" si="45"/>
        <v>1</v>
      </c>
      <c r="H247" s="3430"/>
      <c r="I247" s="3156">
        <f t="shared" si="46"/>
        <v>1</v>
      </c>
      <c r="J247" s="3430"/>
      <c r="K247" s="3156">
        <f t="shared" si="47"/>
        <v>1</v>
      </c>
      <c r="L247" s="3430"/>
      <c r="M247" s="3156">
        <f t="shared" si="48"/>
        <v>1</v>
      </c>
      <c r="N247" s="3430"/>
      <c r="O247" s="3156">
        <f t="shared" si="49"/>
        <v>1</v>
      </c>
      <c r="P247" s="3430"/>
      <c r="Q247" s="3156">
        <f t="shared" si="50"/>
        <v>1</v>
      </c>
      <c r="R247" s="3921">
        <f t="shared" si="51"/>
        <v>0</v>
      </c>
      <c r="S247" s="4017">
        <f t="shared" si="52"/>
        <v>0</v>
      </c>
    </row>
    <row r="248" spans="1:19">
      <c r="A248" s="3157"/>
      <c r="B248" s="3428"/>
      <c r="C248" s="3156">
        <f t="shared" si="43"/>
        <v>1</v>
      </c>
      <c r="D248" s="3430"/>
      <c r="E248" s="3156">
        <f t="shared" si="44"/>
        <v>0</v>
      </c>
      <c r="F248" s="3430"/>
      <c r="G248" s="3156">
        <f t="shared" si="45"/>
        <v>1</v>
      </c>
      <c r="H248" s="3430"/>
      <c r="I248" s="3156">
        <f t="shared" si="46"/>
        <v>1</v>
      </c>
      <c r="J248" s="3430"/>
      <c r="K248" s="3156">
        <f t="shared" si="47"/>
        <v>1</v>
      </c>
      <c r="L248" s="3430"/>
      <c r="M248" s="3156">
        <f t="shared" si="48"/>
        <v>1</v>
      </c>
      <c r="N248" s="3430"/>
      <c r="O248" s="3156">
        <f t="shared" si="49"/>
        <v>1</v>
      </c>
      <c r="P248" s="3430"/>
      <c r="Q248" s="3156">
        <f t="shared" si="50"/>
        <v>1</v>
      </c>
      <c r="R248" s="3921">
        <f t="shared" si="51"/>
        <v>0</v>
      </c>
      <c r="S248" s="4017">
        <f t="shared" si="52"/>
        <v>0</v>
      </c>
    </row>
    <row r="249" spans="1:19">
      <c r="A249" s="3157"/>
      <c r="B249" s="3428"/>
      <c r="C249" s="3156">
        <f t="shared" si="43"/>
        <v>1</v>
      </c>
      <c r="D249" s="3430"/>
      <c r="E249" s="3156">
        <f t="shared" si="44"/>
        <v>0</v>
      </c>
      <c r="F249" s="3430"/>
      <c r="G249" s="3156">
        <f t="shared" si="45"/>
        <v>1</v>
      </c>
      <c r="H249" s="3430"/>
      <c r="I249" s="3156">
        <f t="shared" si="46"/>
        <v>1</v>
      </c>
      <c r="J249" s="3430"/>
      <c r="K249" s="3156">
        <f t="shared" si="47"/>
        <v>1</v>
      </c>
      <c r="L249" s="3430"/>
      <c r="M249" s="3156">
        <f t="shared" si="48"/>
        <v>1</v>
      </c>
      <c r="N249" s="3430"/>
      <c r="O249" s="3156">
        <f t="shared" si="49"/>
        <v>1</v>
      </c>
      <c r="P249" s="3430"/>
      <c r="Q249" s="3156">
        <f t="shared" si="50"/>
        <v>1</v>
      </c>
      <c r="R249" s="3921">
        <f t="shared" si="51"/>
        <v>0</v>
      </c>
      <c r="S249" s="4017">
        <f t="shared" si="52"/>
        <v>0</v>
      </c>
    </row>
    <row r="250" spans="1:19">
      <c r="A250" s="3157"/>
      <c r="B250" s="3428"/>
      <c r="C250" s="3156">
        <f t="shared" si="43"/>
        <v>1</v>
      </c>
      <c r="D250" s="3430"/>
      <c r="E250" s="3156">
        <f t="shared" si="44"/>
        <v>0</v>
      </c>
      <c r="F250" s="3430"/>
      <c r="G250" s="3156">
        <f t="shared" si="45"/>
        <v>1</v>
      </c>
      <c r="H250" s="3430"/>
      <c r="I250" s="3156">
        <f t="shared" si="46"/>
        <v>1</v>
      </c>
      <c r="J250" s="3430"/>
      <c r="K250" s="3156">
        <f t="shared" si="47"/>
        <v>1</v>
      </c>
      <c r="L250" s="3430"/>
      <c r="M250" s="3156">
        <f t="shared" si="48"/>
        <v>1</v>
      </c>
      <c r="N250" s="3430"/>
      <c r="O250" s="3156">
        <f t="shared" si="49"/>
        <v>1</v>
      </c>
      <c r="P250" s="3430"/>
      <c r="Q250" s="3156">
        <f t="shared" si="50"/>
        <v>1</v>
      </c>
      <c r="R250" s="3921">
        <f t="shared" si="51"/>
        <v>0</v>
      </c>
      <c r="S250" s="4017">
        <f t="shared" si="52"/>
        <v>0</v>
      </c>
    </row>
    <row r="251" spans="1:19">
      <c r="A251" s="3157"/>
      <c r="B251" s="3428"/>
      <c r="C251" s="3156">
        <f t="shared" si="43"/>
        <v>1</v>
      </c>
      <c r="D251" s="3430"/>
      <c r="E251" s="3156">
        <f t="shared" si="44"/>
        <v>0</v>
      </c>
      <c r="F251" s="3430"/>
      <c r="G251" s="3156">
        <f t="shared" si="45"/>
        <v>1</v>
      </c>
      <c r="H251" s="3430"/>
      <c r="I251" s="3156">
        <f t="shared" si="46"/>
        <v>1</v>
      </c>
      <c r="J251" s="3430"/>
      <c r="K251" s="3156">
        <f t="shared" si="47"/>
        <v>1</v>
      </c>
      <c r="L251" s="3430"/>
      <c r="M251" s="3156">
        <f t="shared" si="48"/>
        <v>1</v>
      </c>
      <c r="N251" s="3430"/>
      <c r="O251" s="3156">
        <f t="shared" si="49"/>
        <v>1</v>
      </c>
      <c r="P251" s="3430"/>
      <c r="Q251" s="3156">
        <f t="shared" si="50"/>
        <v>1</v>
      </c>
      <c r="R251" s="3921">
        <f t="shared" si="51"/>
        <v>0</v>
      </c>
      <c r="S251" s="4017">
        <f t="shared" si="52"/>
        <v>0</v>
      </c>
    </row>
    <row r="252" spans="1:19">
      <c r="A252" s="3157"/>
      <c r="B252" s="3428"/>
      <c r="C252" s="3156">
        <f t="shared" si="43"/>
        <v>1</v>
      </c>
      <c r="D252" s="3430"/>
      <c r="E252" s="3156">
        <f t="shared" si="44"/>
        <v>0</v>
      </c>
      <c r="F252" s="3430"/>
      <c r="G252" s="3156">
        <f t="shared" si="45"/>
        <v>1</v>
      </c>
      <c r="H252" s="3430"/>
      <c r="I252" s="3156">
        <f t="shared" si="46"/>
        <v>1</v>
      </c>
      <c r="J252" s="3430"/>
      <c r="K252" s="3156">
        <f t="shared" si="47"/>
        <v>1</v>
      </c>
      <c r="L252" s="3430"/>
      <c r="M252" s="3156">
        <f t="shared" si="48"/>
        <v>1</v>
      </c>
      <c r="N252" s="3430"/>
      <c r="O252" s="3156">
        <f t="shared" si="49"/>
        <v>1</v>
      </c>
      <c r="P252" s="3430"/>
      <c r="Q252" s="3156">
        <f t="shared" si="50"/>
        <v>1</v>
      </c>
      <c r="R252" s="3921">
        <f t="shared" si="51"/>
        <v>0</v>
      </c>
      <c r="S252" s="4017">
        <f t="shared" si="52"/>
        <v>0</v>
      </c>
    </row>
    <row r="253" spans="1:19">
      <c r="A253" s="3157"/>
      <c r="B253" s="3428"/>
      <c r="C253" s="3156">
        <f t="shared" si="43"/>
        <v>1</v>
      </c>
      <c r="D253" s="3430"/>
      <c r="E253" s="3156">
        <f t="shared" si="44"/>
        <v>0</v>
      </c>
      <c r="F253" s="3430"/>
      <c r="G253" s="3156">
        <f t="shared" si="45"/>
        <v>1</v>
      </c>
      <c r="H253" s="3430"/>
      <c r="I253" s="3156">
        <f t="shared" si="46"/>
        <v>1</v>
      </c>
      <c r="J253" s="3430"/>
      <c r="K253" s="3156">
        <f t="shared" si="47"/>
        <v>1</v>
      </c>
      <c r="L253" s="3430"/>
      <c r="M253" s="3156">
        <f t="shared" si="48"/>
        <v>1</v>
      </c>
      <c r="N253" s="3430"/>
      <c r="O253" s="3156">
        <f t="shared" si="49"/>
        <v>1</v>
      </c>
      <c r="P253" s="3430"/>
      <c r="Q253" s="3156">
        <f t="shared" si="50"/>
        <v>1</v>
      </c>
      <c r="R253" s="3921">
        <f t="shared" si="51"/>
        <v>0</v>
      </c>
      <c r="S253" s="4017">
        <f t="shared" si="52"/>
        <v>0</v>
      </c>
    </row>
    <row r="254" spans="1:19">
      <c r="A254" s="3157"/>
      <c r="B254" s="3428"/>
      <c r="C254" s="3156">
        <f t="shared" si="43"/>
        <v>1</v>
      </c>
      <c r="D254" s="3430"/>
      <c r="E254" s="3156">
        <f t="shared" si="44"/>
        <v>0</v>
      </c>
      <c r="F254" s="3430"/>
      <c r="G254" s="3156">
        <f t="shared" si="45"/>
        <v>1</v>
      </c>
      <c r="H254" s="3430"/>
      <c r="I254" s="3156">
        <f t="shared" si="46"/>
        <v>1</v>
      </c>
      <c r="J254" s="3430"/>
      <c r="K254" s="3156">
        <f t="shared" si="47"/>
        <v>1</v>
      </c>
      <c r="L254" s="3430"/>
      <c r="M254" s="3156">
        <f t="shared" si="48"/>
        <v>1</v>
      </c>
      <c r="N254" s="3430"/>
      <c r="O254" s="3156">
        <f t="shared" si="49"/>
        <v>1</v>
      </c>
      <c r="P254" s="3430"/>
      <c r="Q254" s="3156">
        <f t="shared" si="50"/>
        <v>1</v>
      </c>
      <c r="R254" s="3921">
        <f t="shared" si="51"/>
        <v>0</v>
      </c>
      <c r="S254" s="4017">
        <f t="shared" si="52"/>
        <v>0</v>
      </c>
    </row>
    <row r="255" spans="1:19">
      <c r="A255" s="3157"/>
      <c r="B255" s="3428"/>
      <c r="C255" s="3156">
        <f t="shared" si="43"/>
        <v>1</v>
      </c>
      <c r="D255" s="3430"/>
      <c r="E255" s="3156">
        <f t="shared" si="44"/>
        <v>0</v>
      </c>
      <c r="F255" s="3430"/>
      <c r="G255" s="3156">
        <f t="shared" si="45"/>
        <v>1</v>
      </c>
      <c r="H255" s="3430"/>
      <c r="I255" s="3156">
        <f t="shared" si="46"/>
        <v>1</v>
      </c>
      <c r="J255" s="3430"/>
      <c r="K255" s="3156">
        <f t="shared" si="47"/>
        <v>1</v>
      </c>
      <c r="L255" s="3430"/>
      <c r="M255" s="3156">
        <f t="shared" si="48"/>
        <v>1</v>
      </c>
      <c r="N255" s="3430"/>
      <c r="O255" s="3156">
        <f t="shared" si="49"/>
        <v>1</v>
      </c>
      <c r="P255" s="3430"/>
      <c r="Q255" s="3156">
        <f t="shared" si="50"/>
        <v>1</v>
      </c>
      <c r="R255" s="3921">
        <f t="shared" si="51"/>
        <v>0</v>
      </c>
      <c r="S255" s="4017">
        <f t="shared" si="52"/>
        <v>0</v>
      </c>
    </row>
    <row r="256" spans="1:19">
      <c r="A256" s="3157"/>
      <c r="B256" s="3428"/>
      <c r="C256" s="3156">
        <f t="shared" si="43"/>
        <v>1</v>
      </c>
      <c r="D256" s="3430"/>
      <c r="E256" s="3156">
        <f t="shared" si="44"/>
        <v>0</v>
      </c>
      <c r="F256" s="3430"/>
      <c r="G256" s="3156">
        <f t="shared" si="45"/>
        <v>1</v>
      </c>
      <c r="H256" s="3430"/>
      <c r="I256" s="3156">
        <f t="shared" si="46"/>
        <v>1</v>
      </c>
      <c r="J256" s="3430"/>
      <c r="K256" s="3156">
        <f t="shared" si="47"/>
        <v>1</v>
      </c>
      <c r="L256" s="3430"/>
      <c r="M256" s="3156">
        <f t="shared" si="48"/>
        <v>1</v>
      </c>
      <c r="N256" s="3430"/>
      <c r="O256" s="3156">
        <f t="shared" si="49"/>
        <v>1</v>
      </c>
      <c r="P256" s="3430"/>
      <c r="Q256" s="3156">
        <f t="shared" si="50"/>
        <v>1</v>
      </c>
      <c r="R256" s="3921">
        <f t="shared" si="51"/>
        <v>0</v>
      </c>
      <c r="S256" s="4017">
        <f t="shared" si="52"/>
        <v>0</v>
      </c>
    </row>
    <row r="257" spans="1:19">
      <c r="A257" s="3157"/>
      <c r="B257" s="3428"/>
      <c r="C257" s="3156">
        <f t="shared" si="43"/>
        <v>1</v>
      </c>
      <c r="D257" s="3430"/>
      <c r="E257" s="3156">
        <f t="shared" si="44"/>
        <v>0</v>
      </c>
      <c r="F257" s="3430"/>
      <c r="G257" s="3156">
        <f t="shared" si="45"/>
        <v>1</v>
      </c>
      <c r="H257" s="3430"/>
      <c r="I257" s="3156">
        <f t="shared" si="46"/>
        <v>1</v>
      </c>
      <c r="J257" s="3430"/>
      <c r="K257" s="3156">
        <f t="shared" si="47"/>
        <v>1</v>
      </c>
      <c r="L257" s="3430"/>
      <c r="M257" s="3156">
        <f t="shared" si="48"/>
        <v>1</v>
      </c>
      <c r="N257" s="3430"/>
      <c r="O257" s="3156">
        <f t="shared" si="49"/>
        <v>1</v>
      </c>
      <c r="P257" s="3430"/>
      <c r="Q257" s="3156">
        <f t="shared" si="50"/>
        <v>1</v>
      </c>
      <c r="R257" s="3921">
        <f t="shared" si="51"/>
        <v>0</v>
      </c>
      <c r="S257" s="4017">
        <f t="shared" si="52"/>
        <v>0</v>
      </c>
    </row>
    <row r="258" spans="1:19">
      <c r="A258" s="3157"/>
      <c r="B258" s="3428"/>
      <c r="C258" s="3156">
        <f t="shared" si="43"/>
        <v>1</v>
      </c>
      <c r="D258" s="3430"/>
      <c r="E258" s="3156">
        <f t="shared" si="44"/>
        <v>0</v>
      </c>
      <c r="F258" s="3430"/>
      <c r="G258" s="3156">
        <f t="shared" si="45"/>
        <v>1</v>
      </c>
      <c r="H258" s="3430"/>
      <c r="I258" s="3156">
        <f t="shared" si="46"/>
        <v>1</v>
      </c>
      <c r="J258" s="3430"/>
      <c r="K258" s="3156">
        <f t="shared" si="47"/>
        <v>1</v>
      </c>
      <c r="L258" s="3430"/>
      <c r="M258" s="3156">
        <f t="shared" si="48"/>
        <v>1</v>
      </c>
      <c r="N258" s="3430"/>
      <c r="O258" s="3156">
        <f t="shared" si="49"/>
        <v>1</v>
      </c>
      <c r="P258" s="3430"/>
      <c r="Q258" s="3156">
        <f t="shared" si="50"/>
        <v>1</v>
      </c>
      <c r="R258" s="3921">
        <f t="shared" si="51"/>
        <v>0</v>
      </c>
      <c r="S258" s="4017">
        <f t="shared" si="52"/>
        <v>0</v>
      </c>
    </row>
    <row r="259" spans="1:19">
      <c r="A259" s="3157"/>
      <c r="B259" s="3428"/>
      <c r="C259" s="3156">
        <f t="shared" si="43"/>
        <v>1</v>
      </c>
      <c r="D259" s="3430"/>
      <c r="E259" s="3156">
        <f t="shared" si="44"/>
        <v>0</v>
      </c>
      <c r="F259" s="3430"/>
      <c r="G259" s="3156">
        <f t="shared" si="45"/>
        <v>1</v>
      </c>
      <c r="H259" s="3430"/>
      <c r="I259" s="3156">
        <f t="shared" si="46"/>
        <v>1</v>
      </c>
      <c r="J259" s="3430"/>
      <c r="K259" s="3156">
        <f t="shared" si="47"/>
        <v>1</v>
      </c>
      <c r="L259" s="3430"/>
      <c r="M259" s="3156">
        <f t="shared" si="48"/>
        <v>1</v>
      </c>
      <c r="N259" s="3430"/>
      <c r="O259" s="3156">
        <f t="shared" si="49"/>
        <v>1</v>
      </c>
      <c r="P259" s="3430"/>
      <c r="Q259" s="3156">
        <f t="shared" si="50"/>
        <v>1</v>
      </c>
      <c r="R259" s="3921">
        <f t="shared" si="51"/>
        <v>0</v>
      </c>
      <c r="S259" s="4017">
        <f t="shared" si="52"/>
        <v>0</v>
      </c>
    </row>
    <row r="260" spans="1:19">
      <c r="A260" s="3157"/>
      <c r="B260" s="3428"/>
      <c r="C260" s="3156">
        <f t="shared" si="43"/>
        <v>1</v>
      </c>
      <c r="D260" s="3430"/>
      <c r="E260" s="3156">
        <f t="shared" si="44"/>
        <v>0</v>
      </c>
      <c r="F260" s="3430"/>
      <c r="G260" s="3156">
        <f t="shared" si="45"/>
        <v>1</v>
      </c>
      <c r="H260" s="3430"/>
      <c r="I260" s="3156">
        <f t="shared" si="46"/>
        <v>1</v>
      </c>
      <c r="J260" s="3430"/>
      <c r="K260" s="3156">
        <f t="shared" si="47"/>
        <v>1</v>
      </c>
      <c r="L260" s="3430"/>
      <c r="M260" s="3156">
        <f t="shared" si="48"/>
        <v>1</v>
      </c>
      <c r="N260" s="3430"/>
      <c r="O260" s="3156">
        <f t="shared" si="49"/>
        <v>1</v>
      </c>
      <c r="P260" s="3430"/>
      <c r="Q260" s="3156">
        <f t="shared" si="50"/>
        <v>1</v>
      </c>
      <c r="R260" s="3921">
        <f t="shared" si="51"/>
        <v>0</v>
      </c>
      <c r="S260" s="4017">
        <f t="shared" si="52"/>
        <v>0</v>
      </c>
    </row>
    <row r="261" spans="1:19">
      <c r="A261" s="3157"/>
      <c r="B261" s="3428"/>
      <c r="C261" s="3156">
        <f t="shared" si="43"/>
        <v>1</v>
      </c>
      <c r="D261" s="3430"/>
      <c r="E261" s="3156">
        <f t="shared" si="44"/>
        <v>0</v>
      </c>
      <c r="F261" s="3430"/>
      <c r="G261" s="3156">
        <f t="shared" si="45"/>
        <v>1</v>
      </c>
      <c r="H261" s="3430"/>
      <c r="I261" s="3156">
        <f t="shared" si="46"/>
        <v>1</v>
      </c>
      <c r="J261" s="3430"/>
      <c r="K261" s="3156">
        <f t="shared" si="47"/>
        <v>1</v>
      </c>
      <c r="L261" s="3430"/>
      <c r="M261" s="3156">
        <f t="shared" si="48"/>
        <v>1</v>
      </c>
      <c r="N261" s="3430"/>
      <c r="O261" s="3156">
        <f t="shared" si="49"/>
        <v>1</v>
      </c>
      <c r="P261" s="3430"/>
      <c r="Q261" s="3156">
        <f t="shared" si="50"/>
        <v>1</v>
      </c>
      <c r="R261" s="3921">
        <f t="shared" si="51"/>
        <v>0</v>
      </c>
      <c r="S261" s="4017">
        <f t="shared" si="52"/>
        <v>0</v>
      </c>
    </row>
    <row r="262" spans="1:19">
      <c r="A262" s="3157"/>
      <c r="B262" s="3428"/>
      <c r="C262" s="3156">
        <f t="shared" si="43"/>
        <v>1</v>
      </c>
      <c r="D262" s="3430"/>
      <c r="E262" s="3156">
        <f t="shared" si="44"/>
        <v>0</v>
      </c>
      <c r="F262" s="3430"/>
      <c r="G262" s="3156">
        <f t="shared" si="45"/>
        <v>1</v>
      </c>
      <c r="H262" s="3430"/>
      <c r="I262" s="3156">
        <f t="shared" si="46"/>
        <v>1</v>
      </c>
      <c r="J262" s="3430"/>
      <c r="K262" s="3156">
        <f t="shared" si="47"/>
        <v>1</v>
      </c>
      <c r="L262" s="3430"/>
      <c r="M262" s="3156">
        <f t="shared" si="48"/>
        <v>1</v>
      </c>
      <c r="N262" s="3430"/>
      <c r="O262" s="3156">
        <f t="shared" si="49"/>
        <v>1</v>
      </c>
      <c r="P262" s="3430"/>
      <c r="Q262" s="3156">
        <f t="shared" si="50"/>
        <v>1</v>
      </c>
      <c r="R262" s="3921">
        <f t="shared" si="51"/>
        <v>0</v>
      </c>
      <c r="S262" s="4017">
        <f t="shared" si="52"/>
        <v>0</v>
      </c>
    </row>
    <row r="263" spans="1:19">
      <c r="A263" s="3157"/>
      <c r="B263" s="3428"/>
      <c r="C263" s="3156">
        <f t="shared" si="43"/>
        <v>1</v>
      </c>
      <c r="D263" s="3430"/>
      <c r="E263" s="3156">
        <f t="shared" si="44"/>
        <v>0</v>
      </c>
      <c r="F263" s="3430"/>
      <c r="G263" s="3156">
        <f t="shared" si="45"/>
        <v>1</v>
      </c>
      <c r="H263" s="3430"/>
      <c r="I263" s="3156">
        <f t="shared" si="46"/>
        <v>1</v>
      </c>
      <c r="J263" s="3430"/>
      <c r="K263" s="3156">
        <f t="shared" si="47"/>
        <v>1</v>
      </c>
      <c r="L263" s="3430"/>
      <c r="M263" s="3156">
        <f t="shared" si="48"/>
        <v>1</v>
      </c>
      <c r="N263" s="3430"/>
      <c r="O263" s="3156">
        <f t="shared" si="49"/>
        <v>1</v>
      </c>
      <c r="P263" s="3430"/>
      <c r="Q263" s="3156">
        <f t="shared" si="50"/>
        <v>1</v>
      </c>
      <c r="R263" s="3921">
        <f t="shared" si="51"/>
        <v>0</v>
      </c>
      <c r="S263" s="4017">
        <f t="shared" si="52"/>
        <v>0</v>
      </c>
    </row>
    <row r="264" spans="1:19">
      <c r="A264" s="3157"/>
      <c r="B264" s="3428"/>
      <c r="C264" s="3156">
        <f t="shared" si="43"/>
        <v>1</v>
      </c>
      <c r="D264" s="3430"/>
      <c r="E264" s="3156">
        <f t="shared" si="44"/>
        <v>0</v>
      </c>
      <c r="F264" s="3430"/>
      <c r="G264" s="3156">
        <f t="shared" si="45"/>
        <v>1</v>
      </c>
      <c r="H264" s="3430"/>
      <c r="I264" s="3156">
        <f t="shared" si="46"/>
        <v>1</v>
      </c>
      <c r="J264" s="3430"/>
      <c r="K264" s="3156">
        <f t="shared" si="47"/>
        <v>1</v>
      </c>
      <c r="L264" s="3430"/>
      <c r="M264" s="3156">
        <f t="shared" si="48"/>
        <v>1</v>
      </c>
      <c r="N264" s="3430"/>
      <c r="O264" s="3156">
        <f t="shared" si="49"/>
        <v>1</v>
      </c>
      <c r="P264" s="3430"/>
      <c r="Q264" s="3156">
        <f t="shared" si="50"/>
        <v>1</v>
      </c>
      <c r="R264" s="3921">
        <f t="shared" si="51"/>
        <v>0</v>
      </c>
      <c r="S264" s="4017">
        <f t="shared" si="52"/>
        <v>0</v>
      </c>
    </row>
    <row r="265" spans="1:19">
      <c r="A265" s="3157"/>
      <c r="B265" s="3428"/>
      <c r="C265" s="3156">
        <f t="shared" si="43"/>
        <v>1</v>
      </c>
      <c r="D265" s="3430"/>
      <c r="E265" s="3156">
        <f t="shared" si="44"/>
        <v>0</v>
      </c>
      <c r="F265" s="3430"/>
      <c r="G265" s="3156">
        <f t="shared" si="45"/>
        <v>1</v>
      </c>
      <c r="H265" s="3430"/>
      <c r="I265" s="3156">
        <f t="shared" si="46"/>
        <v>1</v>
      </c>
      <c r="J265" s="3430"/>
      <c r="K265" s="3156">
        <f t="shared" si="47"/>
        <v>1</v>
      </c>
      <c r="L265" s="3430"/>
      <c r="M265" s="3156">
        <f t="shared" si="48"/>
        <v>1</v>
      </c>
      <c r="N265" s="3430"/>
      <c r="O265" s="3156">
        <f t="shared" si="49"/>
        <v>1</v>
      </c>
      <c r="P265" s="3430"/>
      <c r="Q265" s="3156">
        <f t="shared" si="50"/>
        <v>1</v>
      </c>
      <c r="R265" s="3921">
        <f t="shared" si="51"/>
        <v>0</v>
      </c>
      <c r="S265" s="4017">
        <f t="shared" si="52"/>
        <v>0</v>
      </c>
    </row>
    <row r="266" spans="1:19">
      <c r="A266" s="3157"/>
      <c r="B266" s="3428"/>
      <c r="C266" s="3156">
        <f t="shared" si="43"/>
        <v>1</v>
      </c>
      <c r="D266" s="3430"/>
      <c r="E266" s="3156">
        <f t="shared" si="44"/>
        <v>0</v>
      </c>
      <c r="F266" s="3430"/>
      <c r="G266" s="3156">
        <f t="shared" si="45"/>
        <v>1</v>
      </c>
      <c r="H266" s="3430"/>
      <c r="I266" s="3156">
        <f t="shared" si="46"/>
        <v>1</v>
      </c>
      <c r="J266" s="3430"/>
      <c r="K266" s="3156">
        <f t="shared" si="47"/>
        <v>1</v>
      </c>
      <c r="L266" s="3430"/>
      <c r="M266" s="3156">
        <f t="shared" si="48"/>
        <v>1</v>
      </c>
      <c r="N266" s="3430"/>
      <c r="O266" s="3156">
        <f t="shared" si="49"/>
        <v>1</v>
      </c>
      <c r="P266" s="3430"/>
      <c r="Q266" s="3156">
        <f t="shared" si="50"/>
        <v>1</v>
      </c>
      <c r="R266" s="3921">
        <f t="shared" si="51"/>
        <v>0</v>
      </c>
      <c r="S266" s="4017">
        <f t="shared" si="52"/>
        <v>0</v>
      </c>
    </row>
    <row r="267" spans="1:19">
      <c r="A267" s="3157"/>
      <c r="B267" s="3428"/>
      <c r="C267" s="3156">
        <f t="shared" si="43"/>
        <v>1</v>
      </c>
      <c r="D267" s="3430"/>
      <c r="E267" s="3156">
        <f t="shared" si="44"/>
        <v>0</v>
      </c>
      <c r="F267" s="3430"/>
      <c r="G267" s="3156">
        <f t="shared" si="45"/>
        <v>1</v>
      </c>
      <c r="H267" s="3430"/>
      <c r="I267" s="3156">
        <f t="shared" si="46"/>
        <v>1</v>
      </c>
      <c r="J267" s="3430"/>
      <c r="K267" s="3156">
        <f t="shared" si="47"/>
        <v>1</v>
      </c>
      <c r="L267" s="3430"/>
      <c r="M267" s="3156">
        <f t="shared" si="48"/>
        <v>1</v>
      </c>
      <c r="N267" s="3430"/>
      <c r="O267" s="3156">
        <f t="shared" si="49"/>
        <v>1</v>
      </c>
      <c r="P267" s="3430"/>
      <c r="Q267" s="3156">
        <f t="shared" si="50"/>
        <v>1</v>
      </c>
      <c r="R267" s="3921">
        <f t="shared" si="51"/>
        <v>0</v>
      </c>
      <c r="S267" s="4017">
        <f t="shared" si="52"/>
        <v>0</v>
      </c>
    </row>
    <row r="268" spans="1:19">
      <c r="A268" s="3157"/>
      <c r="B268" s="3428"/>
      <c r="C268" s="3156">
        <f t="shared" si="43"/>
        <v>1</v>
      </c>
      <c r="D268" s="3430"/>
      <c r="E268" s="3156">
        <f t="shared" si="44"/>
        <v>0</v>
      </c>
      <c r="F268" s="3430"/>
      <c r="G268" s="3156">
        <f t="shared" si="45"/>
        <v>1</v>
      </c>
      <c r="H268" s="3430"/>
      <c r="I268" s="3156">
        <f t="shared" si="46"/>
        <v>1</v>
      </c>
      <c r="J268" s="3430"/>
      <c r="K268" s="3156">
        <f t="shared" si="47"/>
        <v>1</v>
      </c>
      <c r="L268" s="3430"/>
      <c r="M268" s="3156">
        <f t="shared" si="48"/>
        <v>1</v>
      </c>
      <c r="N268" s="3430"/>
      <c r="O268" s="3156">
        <f t="shared" si="49"/>
        <v>1</v>
      </c>
      <c r="P268" s="3430"/>
      <c r="Q268" s="3156">
        <f t="shared" si="50"/>
        <v>1</v>
      </c>
      <c r="R268" s="3921">
        <f t="shared" si="51"/>
        <v>0</v>
      </c>
      <c r="S268" s="4017">
        <f t="shared" si="52"/>
        <v>0</v>
      </c>
    </row>
    <row r="269" spans="1:19">
      <c r="A269" s="3157"/>
      <c r="B269" s="3428"/>
      <c r="C269" s="3156">
        <f t="shared" si="43"/>
        <v>1</v>
      </c>
      <c r="D269" s="3430"/>
      <c r="E269" s="3156">
        <f t="shared" si="44"/>
        <v>0</v>
      </c>
      <c r="F269" s="3430"/>
      <c r="G269" s="3156">
        <f t="shared" si="45"/>
        <v>1</v>
      </c>
      <c r="H269" s="3430"/>
      <c r="I269" s="3156">
        <f t="shared" si="46"/>
        <v>1</v>
      </c>
      <c r="J269" s="3430"/>
      <c r="K269" s="3156">
        <f t="shared" si="47"/>
        <v>1</v>
      </c>
      <c r="L269" s="3430"/>
      <c r="M269" s="3156">
        <f t="shared" si="48"/>
        <v>1</v>
      </c>
      <c r="N269" s="3430"/>
      <c r="O269" s="3156">
        <f t="shared" si="49"/>
        <v>1</v>
      </c>
      <c r="P269" s="3430"/>
      <c r="Q269" s="3156">
        <f t="shared" si="50"/>
        <v>1</v>
      </c>
      <c r="R269" s="3921">
        <f t="shared" si="51"/>
        <v>0</v>
      </c>
      <c r="S269" s="4017">
        <f t="shared" si="52"/>
        <v>0</v>
      </c>
    </row>
    <row r="270" spans="1:19">
      <c r="A270" s="3157"/>
      <c r="B270" s="3428"/>
      <c r="C270" s="3156">
        <f t="shared" si="43"/>
        <v>1</v>
      </c>
      <c r="D270" s="3430"/>
      <c r="E270" s="3156">
        <f t="shared" si="44"/>
        <v>0</v>
      </c>
      <c r="F270" s="3430"/>
      <c r="G270" s="3156">
        <f t="shared" si="45"/>
        <v>1</v>
      </c>
      <c r="H270" s="3430"/>
      <c r="I270" s="3156">
        <f t="shared" si="46"/>
        <v>1</v>
      </c>
      <c r="J270" s="3430"/>
      <c r="K270" s="3156">
        <f t="shared" si="47"/>
        <v>1</v>
      </c>
      <c r="L270" s="3430"/>
      <c r="M270" s="3156">
        <f t="shared" si="48"/>
        <v>1</v>
      </c>
      <c r="N270" s="3430"/>
      <c r="O270" s="3156">
        <f t="shared" si="49"/>
        <v>1</v>
      </c>
      <c r="P270" s="3430"/>
      <c r="Q270" s="3156">
        <f t="shared" si="50"/>
        <v>1</v>
      </c>
      <c r="R270" s="3921">
        <f t="shared" si="51"/>
        <v>0</v>
      </c>
      <c r="S270" s="4017">
        <f t="shared" si="52"/>
        <v>0</v>
      </c>
    </row>
    <row r="271" spans="1:19">
      <c r="A271" s="3157"/>
      <c r="B271" s="3428"/>
      <c r="C271" s="3156">
        <f t="shared" si="43"/>
        <v>1</v>
      </c>
      <c r="D271" s="3430"/>
      <c r="E271" s="3156">
        <f t="shared" si="44"/>
        <v>0</v>
      </c>
      <c r="F271" s="3430"/>
      <c r="G271" s="3156">
        <f t="shared" si="45"/>
        <v>1</v>
      </c>
      <c r="H271" s="3430"/>
      <c r="I271" s="3156">
        <f t="shared" si="46"/>
        <v>1</v>
      </c>
      <c r="J271" s="3430"/>
      <c r="K271" s="3156">
        <f t="shared" si="47"/>
        <v>1</v>
      </c>
      <c r="L271" s="3430"/>
      <c r="M271" s="3156">
        <f t="shared" si="48"/>
        <v>1</v>
      </c>
      <c r="N271" s="3430"/>
      <c r="O271" s="3156">
        <f t="shared" si="49"/>
        <v>1</v>
      </c>
      <c r="P271" s="3430"/>
      <c r="Q271" s="3156">
        <f t="shared" si="50"/>
        <v>1</v>
      </c>
      <c r="R271" s="3921">
        <f t="shared" si="51"/>
        <v>0</v>
      </c>
      <c r="S271" s="4017">
        <f t="shared" si="52"/>
        <v>0</v>
      </c>
    </row>
    <row r="272" spans="1:19">
      <c r="A272" s="3157"/>
      <c r="B272" s="3428"/>
      <c r="C272" s="3156">
        <f t="shared" si="43"/>
        <v>1</v>
      </c>
      <c r="D272" s="3430"/>
      <c r="E272" s="3156">
        <f t="shared" si="44"/>
        <v>0</v>
      </c>
      <c r="F272" s="3430"/>
      <c r="G272" s="3156">
        <f t="shared" si="45"/>
        <v>1</v>
      </c>
      <c r="H272" s="3430"/>
      <c r="I272" s="3156">
        <f t="shared" si="46"/>
        <v>1</v>
      </c>
      <c r="J272" s="3430"/>
      <c r="K272" s="3156">
        <f t="shared" si="47"/>
        <v>1</v>
      </c>
      <c r="L272" s="3430"/>
      <c r="M272" s="3156">
        <f t="shared" si="48"/>
        <v>1</v>
      </c>
      <c r="N272" s="3430"/>
      <c r="O272" s="3156">
        <f t="shared" si="49"/>
        <v>1</v>
      </c>
      <c r="P272" s="3430"/>
      <c r="Q272" s="3156">
        <f t="shared" si="50"/>
        <v>1</v>
      </c>
      <c r="R272" s="3921">
        <f t="shared" si="51"/>
        <v>0</v>
      </c>
      <c r="S272" s="4017">
        <f t="shared" si="52"/>
        <v>0</v>
      </c>
    </row>
    <row r="273" spans="1:19">
      <c r="A273" s="3157"/>
      <c r="B273" s="3428"/>
      <c r="C273" s="3156">
        <f t="shared" si="43"/>
        <v>1</v>
      </c>
      <c r="D273" s="3430"/>
      <c r="E273" s="3156">
        <f t="shared" si="44"/>
        <v>0</v>
      </c>
      <c r="F273" s="3430"/>
      <c r="G273" s="3156">
        <f t="shared" si="45"/>
        <v>1</v>
      </c>
      <c r="H273" s="3430"/>
      <c r="I273" s="3156">
        <f t="shared" si="46"/>
        <v>1</v>
      </c>
      <c r="J273" s="3430"/>
      <c r="K273" s="3156">
        <f t="shared" si="47"/>
        <v>1</v>
      </c>
      <c r="L273" s="3430"/>
      <c r="M273" s="3156">
        <f t="shared" si="48"/>
        <v>1</v>
      </c>
      <c r="N273" s="3430"/>
      <c r="O273" s="3156">
        <f t="shared" si="49"/>
        <v>1</v>
      </c>
      <c r="P273" s="3430"/>
      <c r="Q273" s="3156">
        <f t="shared" si="50"/>
        <v>1</v>
      </c>
      <c r="R273" s="3921">
        <f t="shared" si="51"/>
        <v>0</v>
      </c>
      <c r="S273" s="4017">
        <f t="shared" si="52"/>
        <v>0</v>
      </c>
    </row>
    <row r="274" spans="1:19">
      <c r="A274" s="3157"/>
      <c r="B274" s="3428"/>
      <c r="C274" s="3156">
        <f t="shared" si="43"/>
        <v>1</v>
      </c>
      <c r="D274" s="3430"/>
      <c r="E274" s="3156">
        <f t="shared" si="44"/>
        <v>0</v>
      </c>
      <c r="F274" s="3430"/>
      <c r="G274" s="3156">
        <f t="shared" si="45"/>
        <v>1</v>
      </c>
      <c r="H274" s="3430"/>
      <c r="I274" s="3156">
        <f t="shared" si="46"/>
        <v>1</v>
      </c>
      <c r="J274" s="3430"/>
      <c r="K274" s="3156">
        <f t="shared" si="47"/>
        <v>1</v>
      </c>
      <c r="L274" s="3430"/>
      <c r="M274" s="3156">
        <f t="shared" si="48"/>
        <v>1</v>
      </c>
      <c r="N274" s="3430"/>
      <c r="O274" s="3156">
        <f t="shared" si="49"/>
        <v>1</v>
      </c>
      <c r="P274" s="3430"/>
      <c r="Q274" s="3156">
        <f t="shared" si="50"/>
        <v>1</v>
      </c>
      <c r="R274" s="3921">
        <f t="shared" si="51"/>
        <v>0</v>
      </c>
      <c r="S274" s="4017">
        <f t="shared" si="52"/>
        <v>0</v>
      </c>
    </row>
    <row r="275" spans="1:19">
      <c r="A275" s="3157"/>
      <c r="B275" s="3428"/>
      <c r="C275" s="3156">
        <f t="shared" si="43"/>
        <v>1</v>
      </c>
      <c r="D275" s="3430"/>
      <c r="E275" s="3156">
        <f t="shared" si="44"/>
        <v>0</v>
      </c>
      <c r="F275" s="3430"/>
      <c r="G275" s="3156">
        <f t="shared" si="45"/>
        <v>1</v>
      </c>
      <c r="H275" s="3430"/>
      <c r="I275" s="3156">
        <f t="shared" si="46"/>
        <v>1</v>
      </c>
      <c r="J275" s="3430"/>
      <c r="K275" s="3156">
        <f t="shared" si="47"/>
        <v>1</v>
      </c>
      <c r="L275" s="3430"/>
      <c r="M275" s="3156">
        <f t="shared" si="48"/>
        <v>1</v>
      </c>
      <c r="N275" s="3430"/>
      <c r="O275" s="3156">
        <f t="shared" si="49"/>
        <v>1</v>
      </c>
      <c r="P275" s="3430"/>
      <c r="Q275" s="3156">
        <f t="shared" si="50"/>
        <v>1</v>
      </c>
      <c r="R275" s="3921">
        <f t="shared" si="51"/>
        <v>0</v>
      </c>
      <c r="S275" s="4017">
        <f t="shared" si="52"/>
        <v>0</v>
      </c>
    </row>
    <row r="276" spans="1:19">
      <c r="A276" s="3157"/>
      <c r="B276" s="3428"/>
      <c r="C276" s="3156">
        <f t="shared" si="43"/>
        <v>1</v>
      </c>
      <c r="D276" s="3430"/>
      <c r="E276" s="3156">
        <f t="shared" si="44"/>
        <v>0</v>
      </c>
      <c r="F276" s="3430"/>
      <c r="G276" s="3156">
        <f t="shared" si="45"/>
        <v>1</v>
      </c>
      <c r="H276" s="3430"/>
      <c r="I276" s="3156">
        <f t="shared" si="46"/>
        <v>1</v>
      </c>
      <c r="J276" s="3430"/>
      <c r="K276" s="3156">
        <f t="shared" si="47"/>
        <v>1</v>
      </c>
      <c r="L276" s="3430"/>
      <c r="M276" s="3156">
        <f t="shared" si="48"/>
        <v>1</v>
      </c>
      <c r="N276" s="3430"/>
      <c r="O276" s="3156">
        <f t="shared" si="49"/>
        <v>1</v>
      </c>
      <c r="P276" s="3430"/>
      <c r="Q276" s="3156">
        <f t="shared" si="50"/>
        <v>1</v>
      </c>
      <c r="R276" s="3921">
        <f t="shared" si="51"/>
        <v>0</v>
      </c>
      <c r="S276" s="4017">
        <f t="shared" si="52"/>
        <v>0</v>
      </c>
    </row>
    <row r="277" spans="1:19">
      <c r="A277" s="3157"/>
      <c r="B277" s="3428"/>
      <c r="C277" s="3156">
        <f t="shared" si="43"/>
        <v>1</v>
      </c>
      <c r="D277" s="3430"/>
      <c r="E277" s="3156">
        <f t="shared" si="44"/>
        <v>0</v>
      </c>
      <c r="F277" s="3430"/>
      <c r="G277" s="3156">
        <f t="shared" si="45"/>
        <v>1</v>
      </c>
      <c r="H277" s="3430"/>
      <c r="I277" s="3156">
        <f t="shared" si="46"/>
        <v>1</v>
      </c>
      <c r="J277" s="3430"/>
      <c r="K277" s="3156">
        <f t="shared" si="47"/>
        <v>1</v>
      </c>
      <c r="L277" s="3430"/>
      <c r="M277" s="3156">
        <f t="shared" si="48"/>
        <v>1</v>
      </c>
      <c r="N277" s="3430"/>
      <c r="O277" s="3156">
        <f t="shared" si="49"/>
        <v>1</v>
      </c>
      <c r="P277" s="3430"/>
      <c r="Q277" s="3156">
        <f t="shared" si="50"/>
        <v>1</v>
      </c>
      <c r="R277" s="3921">
        <f t="shared" si="51"/>
        <v>0</v>
      </c>
      <c r="S277" s="4017">
        <f t="shared" si="52"/>
        <v>0</v>
      </c>
    </row>
    <row r="278" spans="1:19">
      <c r="A278" s="3157"/>
      <c r="B278" s="3428"/>
      <c r="C278" s="3156">
        <f t="shared" si="43"/>
        <v>1</v>
      </c>
      <c r="D278" s="3430"/>
      <c r="E278" s="3156">
        <f t="shared" si="44"/>
        <v>0</v>
      </c>
      <c r="F278" s="3430"/>
      <c r="G278" s="3156">
        <f t="shared" si="45"/>
        <v>1</v>
      </c>
      <c r="H278" s="3430"/>
      <c r="I278" s="3156">
        <f t="shared" si="46"/>
        <v>1</v>
      </c>
      <c r="J278" s="3430"/>
      <c r="K278" s="3156">
        <f t="shared" si="47"/>
        <v>1</v>
      </c>
      <c r="L278" s="3430"/>
      <c r="M278" s="3156">
        <f t="shared" si="48"/>
        <v>1</v>
      </c>
      <c r="N278" s="3430"/>
      <c r="O278" s="3156">
        <f t="shared" si="49"/>
        <v>1</v>
      </c>
      <c r="P278" s="3430"/>
      <c r="Q278" s="3156">
        <f t="shared" si="50"/>
        <v>1</v>
      </c>
      <c r="R278" s="3921">
        <f t="shared" si="51"/>
        <v>0</v>
      </c>
      <c r="S278" s="4017">
        <f t="shared" si="52"/>
        <v>0</v>
      </c>
    </row>
    <row r="279" spans="1:19">
      <c r="A279" s="3157"/>
      <c r="B279" s="3428"/>
      <c r="C279" s="3156">
        <f t="shared" si="43"/>
        <v>1</v>
      </c>
      <c r="D279" s="3430"/>
      <c r="E279" s="3156">
        <f t="shared" si="44"/>
        <v>0</v>
      </c>
      <c r="F279" s="3430"/>
      <c r="G279" s="3156">
        <f t="shared" si="45"/>
        <v>1</v>
      </c>
      <c r="H279" s="3430"/>
      <c r="I279" s="3156">
        <f t="shared" si="46"/>
        <v>1</v>
      </c>
      <c r="J279" s="3430"/>
      <c r="K279" s="3156">
        <f t="shared" si="47"/>
        <v>1</v>
      </c>
      <c r="L279" s="3430"/>
      <c r="M279" s="3156">
        <f t="shared" si="48"/>
        <v>1</v>
      </c>
      <c r="N279" s="3430"/>
      <c r="O279" s="3156">
        <f t="shared" si="49"/>
        <v>1</v>
      </c>
      <c r="P279" s="3430"/>
      <c r="Q279" s="3156">
        <f t="shared" si="50"/>
        <v>1</v>
      </c>
      <c r="R279" s="3921">
        <f t="shared" si="51"/>
        <v>0</v>
      </c>
      <c r="S279" s="4017">
        <f t="shared" si="52"/>
        <v>0</v>
      </c>
    </row>
    <row r="280" spans="1:19">
      <c r="A280" s="3157"/>
      <c r="B280" s="3428"/>
      <c r="C280" s="3156">
        <f t="shared" si="43"/>
        <v>1</v>
      </c>
      <c r="D280" s="3430"/>
      <c r="E280" s="3156">
        <f t="shared" si="44"/>
        <v>0</v>
      </c>
      <c r="F280" s="3430"/>
      <c r="G280" s="3156">
        <f t="shared" si="45"/>
        <v>1</v>
      </c>
      <c r="H280" s="3430"/>
      <c r="I280" s="3156">
        <f t="shared" si="46"/>
        <v>1</v>
      </c>
      <c r="J280" s="3430"/>
      <c r="K280" s="3156">
        <f t="shared" si="47"/>
        <v>1</v>
      </c>
      <c r="L280" s="3430"/>
      <c r="M280" s="3156">
        <f t="shared" si="48"/>
        <v>1</v>
      </c>
      <c r="N280" s="3430"/>
      <c r="O280" s="3156">
        <f t="shared" si="49"/>
        <v>1</v>
      </c>
      <c r="P280" s="3430"/>
      <c r="Q280" s="3156">
        <f t="shared" si="50"/>
        <v>1</v>
      </c>
      <c r="R280" s="3921">
        <f t="shared" si="51"/>
        <v>0</v>
      </c>
      <c r="S280" s="4017">
        <f t="shared" si="52"/>
        <v>0</v>
      </c>
    </row>
    <row r="281" spans="1:19">
      <c r="A281" s="3157"/>
      <c r="B281" s="3428"/>
      <c r="C281" s="3156">
        <f t="shared" si="43"/>
        <v>1</v>
      </c>
      <c r="D281" s="3430"/>
      <c r="E281" s="3156">
        <f t="shared" si="44"/>
        <v>0</v>
      </c>
      <c r="F281" s="3430"/>
      <c r="G281" s="3156">
        <f t="shared" si="45"/>
        <v>1</v>
      </c>
      <c r="H281" s="3430"/>
      <c r="I281" s="3156">
        <f t="shared" si="46"/>
        <v>1</v>
      </c>
      <c r="J281" s="3430"/>
      <c r="K281" s="3156">
        <f t="shared" si="47"/>
        <v>1</v>
      </c>
      <c r="L281" s="3430"/>
      <c r="M281" s="3156">
        <f t="shared" si="48"/>
        <v>1</v>
      </c>
      <c r="N281" s="3430"/>
      <c r="O281" s="3156">
        <f t="shared" si="49"/>
        <v>1</v>
      </c>
      <c r="P281" s="3430"/>
      <c r="Q281" s="3156">
        <f t="shared" si="50"/>
        <v>1</v>
      </c>
      <c r="R281" s="3921">
        <f t="shared" si="51"/>
        <v>0</v>
      </c>
      <c r="S281" s="4017">
        <f t="shared" si="52"/>
        <v>0</v>
      </c>
    </row>
    <row r="282" spans="1:19">
      <c r="A282" s="3157"/>
      <c r="B282" s="3428"/>
      <c r="C282" s="3156">
        <f t="shared" ref="C282:C345" si="53">IF(B282="",1,(LOOKUP(B282,$3:$3,$4:$4)-LOOKUP($B$24,$3:$3,$4:$4)+100)/100)</f>
        <v>1</v>
      </c>
      <c r="D282" s="3430"/>
      <c r="E282" s="3156">
        <f t="shared" ref="E282:E345" si="54">(SUMIF($5:$5,D282,$6:$6)-SUMIF($5:$5,$D$24,$6:$6)+100)/100</f>
        <v>0</v>
      </c>
      <c r="F282" s="3430"/>
      <c r="G282" s="3156">
        <f t="shared" ref="G282:G345" si="55">(SUMIF($7:$7,F282,$8:$8)-SUMIF($7:$7,$F$24,$8:$8)+100)/100</f>
        <v>1</v>
      </c>
      <c r="H282" s="3430"/>
      <c r="I282" s="3156">
        <f t="shared" ref="I282:I345" si="56">(SUMIF($9:$9,H282,$10:$10)-SUMIF($9:$9,$H$24,$10:$10)+100)/100</f>
        <v>1</v>
      </c>
      <c r="J282" s="3430"/>
      <c r="K282" s="3156">
        <f t="shared" ref="K282:K345" si="57">(SUMIF($11:$11,J282,$12:$12)-SUMIF($11:$11,$J$24,$12:$12)+100)/100</f>
        <v>1</v>
      </c>
      <c r="L282" s="3430"/>
      <c r="M282" s="3156">
        <f t="shared" ref="M282:M345" si="58">(SUMIF($13:$13,L282,$14:$14)-SUMIF($13:$13,$L$24,$14:$14)+100)/100</f>
        <v>1</v>
      </c>
      <c r="N282" s="3430"/>
      <c r="O282" s="3156">
        <f t="shared" ref="O282:O345" si="59">(SUMIF($15:$15,N282,$16:$16)-SUMIF($15:$15,$N$24,$16:$16)+100)/100</f>
        <v>1</v>
      </c>
      <c r="P282" s="3430"/>
      <c r="Q282" s="3156">
        <f t="shared" ref="Q282:Q345" si="60">(SUMIF($17:$17,P282,$18:$18)-SUMIF($17:$17,$P$24,$18:$18)+100)/100</f>
        <v>1</v>
      </c>
      <c r="R282" s="3921">
        <f t="shared" ref="R282:R345" si="61">IF(B282="",0,ROUND($R$24*C282*E282*G282*I282*K282*M282*O282*Q282,0))</f>
        <v>0</v>
      </c>
      <c r="S282" s="4017">
        <f t="shared" si="52"/>
        <v>0</v>
      </c>
    </row>
    <row r="283" spans="1:19">
      <c r="A283" s="3157"/>
      <c r="B283" s="3428"/>
      <c r="C283" s="3156">
        <f t="shared" si="53"/>
        <v>1</v>
      </c>
      <c r="D283" s="3430"/>
      <c r="E283" s="3156">
        <f t="shared" si="54"/>
        <v>0</v>
      </c>
      <c r="F283" s="3430"/>
      <c r="G283" s="3156">
        <f t="shared" si="55"/>
        <v>1</v>
      </c>
      <c r="H283" s="3430"/>
      <c r="I283" s="3156">
        <f t="shared" si="56"/>
        <v>1</v>
      </c>
      <c r="J283" s="3430"/>
      <c r="K283" s="3156">
        <f t="shared" si="57"/>
        <v>1</v>
      </c>
      <c r="L283" s="3430"/>
      <c r="M283" s="3156">
        <f t="shared" si="58"/>
        <v>1</v>
      </c>
      <c r="N283" s="3430"/>
      <c r="O283" s="3156">
        <f t="shared" si="59"/>
        <v>1</v>
      </c>
      <c r="P283" s="3430"/>
      <c r="Q283" s="3156">
        <f t="shared" si="60"/>
        <v>1</v>
      </c>
      <c r="R283" s="3921">
        <f t="shared" si="61"/>
        <v>0</v>
      </c>
      <c r="S283" s="4017">
        <f t="shared" si="52"/>
        <v>0</v>
      </c>
    </row>
    <row r="284" spans="1:19">
      <c r="A284" s="3157"/>
      <c r="B284" s="3428"/>
      <c r="C284" s="3156">
        <f t="shared" si="53"/>
        <v>1</v>
      </c>
      <c r="D284" s="3430"/>
      <c r="E284" s="3156">
        <f t="shared" si="54"/>
        <v>0</v>
      </c>
      <c r="F284" s="3430"/>
      <c r="G284" s="3156">
        <f t="shared" si="55"/>
        <v>1</v>
      </c>
      <c r="H284" s="3430"/>
      <c r="I284" s="3156">
        <f t="shared" si="56"/>
        <v>1</v>
      </c>
      <c r="J284" s="3430"/>
      <c r="K284" s="3156">
        <f t="shared" si="57"/>
        <v>1</v>
      </c>
      <c r="L284" s="3430"/>
      <c r="M284" s="3156">
        <f t="shared" si="58"/>
        <v>1</v>
      </c>
      <c r="N284" s="3430"/>
      <c r="O284" s="3156">
        <f t="shared" si="59"/>
        <v>1</v>
      </c>
      <c r="P284" s="3430"/>
      <c r="Q284" s="3156">
        <f t="shared" si="60"/>
        <v>1</v>
      </c>
      <c r="R284" s="3921">
        <f t="shared" si="61"/>
        <v>0</v>
      </c>
      <c r="S284" s="4017">
        <f t="shared" si="52"/>
        <v>0</v>
      </c>
    </row>
    <row r="285" spans="1:19">
      <c r="A285" s="3157"/>
      <c r="B285" s="3428"/>
      <c r="C285" s="3156">
        <f t="shared" si="53"/>
        <v>1</v>
      </c>
      <c r="D285" s="3430"/>
      <c r="E285" s="3156">
        <f t="shared" si="54"/>
        <v>0</v>
      </c>
      <c r="F285" s="3430"/>
      <c r="G285" s="3156">
        <f t="shared" si="55"/>
        <v>1</v>
      </c>
      <c r="H285" s="3430"/>
      <c r="I285" s="3156">
        <f t="shared" si="56"/>
        <v>1</v>
      </c>
      <c r="J285" s="3430"/>
      <c r="K285" s="3156">
        <f t="shared" si="57"/>
        <v>1</v>
      </c>
      <c r="L285" s="3430"/>
      <c r="M285" s="3156">
        <f t="shared" si="58"/>
        <v>1</v>
      </c>
      <c r="N285" s="3430"/>
      <c r="O285" s="3156">
        <f t="shared" si="59"/>
        <v>1</v>
      </c>
      <c r="P285" s="3430"/>
      <c r="Q285" s="3156">
        <f t="shared" si="60"/>
        <v>1</v>
      </c>
      <c r="R285" s="3921">
        <f t="shared" si="61"/>
        <v>0</v>
      </c>
      <c r="S285" s="4017">
        <f t="shared" si="52"/>
        <v>0</v>
      </c>
    </row>
    <row r="286" spans="1:19">
      <c r="A286" s="3157"/>
      <c r="B286" s="3428"/>
      <c r="C286" s="3156">
        <f t="shared" si="53"/>
        <v>1</v>
      </c>
      <c r="D286" s="3430"/>
      <c r="E286" s="3156">
        <f t="shared" si="54"/>
        <v>0</v>
      </c>
      <c r="F286" s="3430"/>
      <c r="G286" s="3156">
        <f t="shared" si="55"/>
        <v>1</v>
      </c>
      <c r="H286" s="3430"/>
      <c r="I286" s="3156">
        <f t="shared" si="56"/>
        <v>1</v>
      </c>
      <c r="J286" s="3430"/>
      <c r="K286" s="3156">
        <f t="shared" si="57"/>
        <v>1</v>
      </c>
      <c r="L286" s="3430"/>
      <c r="M286" s="3156">
        <f t="shared" si="58"/>
        <v>1</v>
      </c>
      <c r="N286" s="3430"/>
      <c r="O286" s="3156">
        <f t="shared" si="59"/>
        <v>1</v>
      </c>
      <c r="P286" s="3430"/>
      <c r="Q286" s="3156">
        <f t="shared" si="60"/>
        <v>1</v>
      </c>
      <c r="R286" s="3921">
        <f t="shared" si="61"/>
        <v>0</v>
      </c>
      <c r="S286" s="4017">
        <f t="shared" si="52"/>
        <v>0</v>
      </c>
    </row>
    <row r="287" spans="1:19">
      <c r="A287" s="3157"/>
      <c r="B287" s="3428"/>
      <c r="C287" s="3156">
        <f t="shared" si="53"/>
        <v>1</v>
      </c>
      <c r="D287" s="3430"/>
      <c r="E287" s="3156">
        <f t="shared" si="54"/>
        <v>0</v>
      </c>
      <c r="F287" s="3430"/>
      <c r="G287" s="3156">
        <f t="shared" si="55"/>
        <v>1</v>
      </c>
      <c r="H287" s="3430"/>
      <c r="I287" s="3156">
        <f t="shared" si="56"/>
        <v>1</v>
      </c>
      <c r="J287" s="3430"/>
      <c r="K287" s="3156">
        <f t="shared" si="57"/>
        <v>1</v>
      </c>
      <c r="L287" s="3430"/>
      <c r="M287" s="3156">
        <f t="shared" si="58"/>
        <v>1</v>
      </c>
      <c r="N287" s="3430"/>
      <c r="O287" s="3156">
        <f t="shared" si="59"/>
        <v>1</v>
      </c>
      <c r="P287" s="3430"/>
      <c r="Q287" s="3156">
        <f t="shared" si="60"/>
        <v>1</v>
      </c>
      <c r="R287" s="3921">
        <f t="shared" si="61"/>
        <v>0</v>
      </c>
      <c r="S287" s="4017">
        <f t="shared" ref="S287:S320" si="62">ROUND(R287*B287/10000,0)</f>
        <v>0</v>
      </c>
    </row>
    <row r="288" spans="1:19">
      <c r="A288" s="3157"/>
      <c r="B288" s="3428"/>
      <c r="C288" s="3156">
        <f t="shared" si="53"/>
        <v>1</v>
      </c>
      <c r="D288" s="3430"/>
      <c r="E288" s="3156">
        <f t="shared" si="54"/>
        <v>0</v>
      </c>
      <c r="F288" s="3430"/>
      <c r="G288" s="3156">
        <f t="shared" si="55"/>
        <v>1</v>
      </c>
      <c r="H288" s="3430"/>
      <c r="I288" s="3156">
        <f t="shared" si="56"/>
        <v>1</v>
      </c>
      <c r="J288" s="3430"/>
      <c r="K288" s="3156">
        <f t="shared" si="57"/>
        <v>1</v>
      </c>
      <c r="L288" s="3430"/>
      <c r="M288" s="3156">
        <f t="shared" si="58"/>
        <v>1</v>
      </c>
      <c r="N288" s="3430"/>
      <c r="O288" s="3156">
        <f t="shared" si="59"/>
        <v>1</v>
      </c>
      <c r="P288" s="3430"/>
      <c r="Q288" s="3156">
        <f t="shared" si="60"/>
        <v>1</v>
      </c>
      <c r="R288" s="3921">
        <f t="shared" si="61"/>
        <v>0</v>
      </c>
      <c r="S288" s="4017">
        <f t="shared" si="62"/>
        <v>0</v>
      </c>
    </row>
    <row r="289" spans="1:19">
      <c r="A289" s="3157"/>
      <c r="B289" s="3428"/>
      <c r="C289" s="3156">
        <f t="shared" si="53"/>
        <v>1</v>
      </c>
      <c r="D289" s="3430"/>
      <c r="E289" s="3156">
        <f t="shared" si="54"/>
        <v>0</v>
      </c>
      <c r="F289" s="3430"/>
      <c r="G289" s="3156">
        <f t="shared" si="55"/>
        <v>1</v>
      </c>
      <c r="H289" s="3430"/>
      <c r="I289" s="3156">
        <f t="shared" si="56"/>
        <v>1</v>
      </c>
      <c r="J289" s="3430"/>
      <c r="K289" s="3156">
        <f t="shared" si="57"/>
        <v>1</v>
      </c>
      <c r="L289" s="3430"/>
      <c r="M289" s="3156">
        <f t="shared" si="58"/>
        <v>1</v>
      </c>
      <c r="N289" s="3430"/>
      <c r="O289" s="3156">
        <f t="shared" si="59"/>
        <v>1</v>
      </c>
      <c r="P289" s="3430"/>
      <c r="Q289" s="3156">
        <f t="shared" si="60"/>
        <v>1</v>
      </c>
      <c r="R289" s="3921">
        <f t="shared" si="61"/>
        <v>0</v>
      </c>
      <c r="S289" s="4017">
        <f t="shared" si="62"/>
        <v>0</v>
      </c>
    </row>
    <row r="290" spans="1:19">
      <c r="A290" s="3157"/>
      <c r="B290" s="3428"/>
      <c r="C290" s="3156">
        <f t="shared" si="53"/>
        <v>1</v>
      </c>
      <c r="D290" s="3430"/>
      <c r="E290" s="3156">
        <f t="shared" si="54"/>
        <v>0</v>
      </c>
      <c r="F290" s="3430"/>
      <c r="G290" s="3156">
        <f t="shared" si="55"/>
        <v>1</v>
      </c>
      <c r="H290" s="3430"/>
      <c r="I290" s="3156">
        <f t="shared" si="56"/>
        <v>1</v>
      </c>
      <c r="J290" s="3430"/>
      <c r="K290" s="3156">
        <f t="shared" si="57"/>
        <v>1</v>
      </c>
      <c r="L290" s="3430"/>
      <c r="M290" s="3156">
        <f t="shared" si="58"/>
        <v>1</v>
      </c>
      <c r="N290" s="3430"/>
      <c r="O290" s="3156">
        <f t="shared" si="59"/>
        <v>1</v>
      </c>
      <c r="P290" s="3430"/>
      <c r="Q290" s="3156">
        <f t="shared" si="60"/>
        <v>1</v>
      </c>
      <c r="R290" s="3921">
        <f t="shared" si="61"/>
        <v>0</v>
      </c>
      <c r="S290" s="4017">
        <f t="shared" si="62"/>
        <v>0</v>
      </c>
    </row>
    <row r="291" spans="1:19">
      <c r="A291" s="3157"/>
      <c r="B291" s="3428"/>
      <c r="C291" s="3156">
        <f t="shared" si="53"/>
        <v>1</v>
      </c>
      <c r="D291" s="3430"/>
      <c r="E291" s="3156">
        <f t="shared" si="54"/>
        <v>0</v>
      </c>
      <c r="F291" s="3430"/>
      <c r="G291" s="3156">
        <f t="shared" si="55"/>
        <v>1</v>
      </c>
      <c r="H291" s="3430"/>
      <c r="I291" s="3156">
        <f t="shared" si="56"/>
        <v>1</v>
      </c>
      <c r="J291" s="3430"/>
      <c r="K291" s="3156">
        <f t="shared" si="57"/>
        <v>1</v>
      </c>
      <c r="L291" s="3430"/>
      <c r="M291" s="3156">
        <f t="shared" si="58"/>
        <v>1</v>
      </c>
      <c r="N291" s="3430"/>
      <c r="O291" s="3156">
        <f t="shared" si="59"/>
        <v>1</v>
      </c>
      <c r="P291" s="3430"/>
      <c r="Q291" s="3156">
        <f t="shared" si="60"/>
        <v>1</v>
      </c>
      <c r="R291" s="3921">
        <f t="shared" si="61"/>
        <v>0</v>
      </c>
      <c r="S291" s="4017">
        <f t="shared" si="62"/>
        <v>0</v>
      </c>
    </row>
    <row r="292" spans="1:19">
      <c r="A292" s="3157"/>
      <c r="B292" s="3428"/>
      <c r="C292" s="3156">
        <f t="shared" si="53"/>
        <v>1</v>
      </c>
      <c r="D292" s="3430"/>
      <c r="E292" s="3156">
        <f t="shared" si="54"/>
        <v>0</v>
      </c>
      <c r="F292" s="3430"/>
      <c r="G292" s="3156">
        <f t="shared" si="55"/>
        <v>1</v>
      </c>
      <c r="H292" s="3430"/>
      <c r="I292" s="3156">
        <f t="shared" si="56"/>
        <v>1</v>
      </c>
      <c r="J292" s="3430"/>
      <c r="K292" s="3156">
        <f t="shared" si="57"/>
        <v>1</v>
      </c>
      <c r="L292" s="3430"/>
      <c r="M292" s="3156">
        <f t="shared" si="58"/>
        <v>1</v>
      </c>
      <c r="N292" s="3430"/>
      <c r="O292" s="3156">
        <f t="shared" si="59"/>
        <v>1</v>
      </c>
      <c r="P292" s="3430"/>
      <c r="Q292" s="3156">
        <f t="shared" si="60"/>
        <v>1</v>
      </c>
      <c r="R292" s="3921">
        <f t="shared" si="61"/>
        <v>0</v>
      </c>
      <c r="S292" s="4017">
        <f t="shared" si="62"/>
        <v>0</v>
      </c>
    </row>
    <row r="293" spans="1:19">
      <c r="A293" s="3157"/>
      <c r="B293" s="3428"/>
      <c r="C293" s="3156">
        <f t="shared" si="53"/>
        <v>1</v>
      </c>
      <c r="D293" s="3430"/>
      <c r="E293" s="3156">
        <f t="shared" si="54"/>
        <v>0</v>
      </c>
      <c r="F293" s="3430"/>
      <c r="G293" s="3156">
        <f t="shared" si="55"/>
        <v>1</v>
      </c>
      <c r="H293" s="3430"/>
      <c r="I293" s="3156">
        <f t="shared" si="56"/>
        <v>1</v>
      </c>
      <c r="J293" s="3430"/>
      <c r="K293" s="3156">
        <f t="shared" si="57"/>
        <v>1</v>
      </c>
      <c r="L293" s="3430"/>
      <c r="M293" s="3156">
        <f t="shared" si="58"/>
        <v>1</v>
      </c>
      <c r="N293" s="3430"/>
      <c r="O293" s="3156">
        <f t="shared" si="59"/>
        <v>1</v>
      </c>
      <c r="P293" s="3430"/>
      <c r="Q293" s="3156">
        <f t="shared" si="60"/>
        <v>1</v>
      </c>
      <c r="R293" s="3921">
        <f t="shared" si="61"/>
        <v>0</v>
      </c>
      <c r="S293" s="4017">
        <f t="shared" si="62"/>
        <v>0</v>
      </c>
    </row>
    <row r="294" spans="1:19">
      <c r="A294" s="3157"/>
      <c r="B294" s="3428"/>
      <c r="C294" s="3156">
        <f t="shared" si="53"/>
        <v>1</v>
      </c>
      <c r="D294" s="3430"/>
      <c r="E294" s="3156">
        <f t="shared" si="54"/>
        <v>0</v>
      </c>
      <c r="F294" s="3430"/>
      <c r="G294" s="3156">
        <f t="shared" si="55"/>
        <v>1</v>
      </c>
      <c r="H294" s="3430"/>
      <c r="I294" s="3156">
        <f t="shared" si="56"/>
        <v>1</v>
      </c>
      <c r="J294" s="3430"/>
      <c r="K294" s="3156">
        <f t="shared" si="57"/>
        <v>1</v>
      </c>
      <c r="L294" s="3430"/>
      <c r="M294" s="3156">
        <f t="shared" si="58"/>
        <v>1</v>
      </c>
      <c r="N294" s="3430"/>
      <c r="O294" s="3156">
        <f t="shared" si="59"/>
        <v>1</v>
      </c>
      <c r="P294" s="3430"/>
      <c r="Q294" s="3156">
        <f t="shared" si="60"/>
        <v>1</v>
      </c>
      <c r="R294" s="3921">
        <f t="shared" si="61"/>
        <v>0</v>
      </c>
      <c r="S294" s="4017">
        <f t="shared" si="62"/>
        <v>0</v>
      </c>
    </row>
    <row r="295" spans="1:19">
      <c r="A295" s="3157"/>
      <c r="B295" s="3428"/>
      <c r="C295" s="3156">
        <f t="shared" si="53"/>
        <v>1</v>
      </c>
      <c r="D295" s="3430"/>
      <c r="E295" s="3156">
        <f t="shared" si="54"/>
        <v>0</v>
      </c>
      <c r="F295" s="3430"/>
      <c r="G295" s="3156">
        <f t="shared" si="55"/>
        <v>1</v>
      </c>
      <c r="H295" s="3430"/>
      <c r="I295" s="3156">
        <f t="shared" si="56"/>
        <v>1</v>
      </c>
      <c r="J295" s="3430"/>
      <c r="K295" s="3156">
        <f t="shared" si="57"/>
        <v>1</v>
      </c>
      <c r="L295" s="3430"/>
      <c r="M295" s="3156">
        <f t="shared" si="58"/>
        <v>1</v>
      </c>
      <c r="N295" s="3430"/>
      <c r="O295" s="3156">
        <f t="shared" si="59"/>
        <v>1</v>
      </c>
      <c r="P295" s="3430"/>
      <c r="Q295" s="3156">
        <f t="shared" si="60"/>
        <v>1</v>
      </c>
      <c r="R295" s="3921">
        <f t="shared" si="61"/>
        <v>0</v>
      </c>
      <c r="S295" s="4017">
        <f t="shared" si="62"/>
        <v>0</v>
      </c>
    </row>
    <row r="296" spans="1:19">
      <c r="A296" s="3157"/>
      <c r="B296" s="3428"/>
      <c r="C296" s="3156">
        <f t="shared" si="53"/>
        <v>1</v>
      </c>
      <c r="D296" s="3430"/>
      <c r="E296" s="3156">
        <f t="shared" si="54"/>
        <v>0</v>
      </c>
      <c r="F296" s="3430"/>
      <c r="G296" s="3156">
        <f t="shared" si="55"/>
        <v>1</v>
      </c>
      <c r="H296" s="3430"/>
      <c r="I296" s="3156">
        <f t="shared" si="56"/>
        <v>1</v>
      </c>
      <c r="J296" s="3430"/>
      <c r="K296" s="3156">
        <f t="shared" si="57"/>
        <v>1</v>
      </c>
      <c r="L296" s="3430"/>
      <c r="M296" s="3156">
        <f t="shared" si="58"/>
        <v>1</v>
      </c>
      <c r="N296" s="3430"/>
      <c r="O296" s="3156">
        <f t="shared" si="59"/>
        <v>1</v>
      </c>
      <c r="P296" s="3430"/>
      <c r="Q296" s="3156">
        <f t="shared" si="60"/>
        <v>1</v>
      </c>
      <c r="R296" s="3921">
        <f t="shared" si="61"/>
        <v>0</v>
      </c>
      <c r="S296" s="4017">
        <f t="shared" si="62"/>
        <v>0</v>
      </c>
    </row>
    <row r="297" spans="1:19">
      <c r="A297" s="3157"/>
      <c r="B297" s="3428"/>
      <c r="C297" s="3156">
        <f t="shared" si="53"/>
        <v>1</v>
      </c>
      <c r="D297" s="3430"/>
      <c r="E297" s="3156">
        <f t="shared" si="54"/>
        <v>0</v>
      </c>
      <c r="F297" s="3430"/>
      <c r="G297" s="3156">
        <f t="shared" si="55"/>
        <v>1</v>
      </c>
      <c r="H297" s="3430"/>
      <c r="I297" s="3156">
        <f t="shared" si="56"/>
        <v>1</v>
      </c>
      <c r="J297" s="3430"/>
      <c r="K297" s="3156">
        <f t="shared" si="57"/>
        <v>1</v>
      </c>
      <c r="L297" s="3430"/>
      <c r="M297" s="3156">
        <f t="shared" si="58"/>
        <v>1</v>
      </c>
      <c r="N297" s="3430"/>
      <c r="O297" s="3156">
        <f t="shared" si="59"/>
        <v>1</v>
      </c>
      <c r="P297" s="3430"/>
      <c r="Q297" s="3156">
        <f t="shared" si="60"/>
        <v>1</v>
      </c>
      <c r="R297" s="3921">
        <f t="shared" si="61"/>
        <v>0</v>
      </c>
      <c r="S297" s="4017">
        <f t="shared" si="62"/>
        <v>0</v>
      </c>
    </row>
    <row r="298" spans="1:19">
      <c r="A298" s="3157"/>
      <c r="B298" s="3428"/>
      <c r="C298" s="3156">
        <f t="shared" si="53"/>
        <v>1</v>
      </c>
      <c r="D298" s="3430"/>
      <c r="E298" s="3156">
        <f t="shared" si="54"/>
        <v>0</v>
      </c>
      <c r="F298" s="3430"/>
      <c r="G298" s="3156">
        <f t="shared" si="55"/>
        <v>1</v>
      </c>
      <c r="H298" s="3430"/>
      <c r="I298" s="3156">
        <f t="shared" si="56"/>
        <v>1</v>
      </c>
      <c r="J298" s="3430"/>
      <c r="K298" s="3156">
        <f t="shared" si="57"/>
        <v>1</v>
      </c>
      <c r="L298" s="3430"/>
      <c r="M298" s="3156">
        <f t="shared" si="58"/>
        <v>1</v>
      </c>
      <c r="N298" s="3430"/>
      <c r="O298" s="3156">
        <f t="shared" si="59"/>
        <v>1</v>
      </c>
      <c r="P298" s="3430"/>
      <c r="Q298" s="3156">
        <f t="shared" si="60"/>
        <v>1</v>
      </c>
      <c r="R298" s="3921">
        <f t="shared" si="61"/>
        <v>0</v>
      </c>
      <c r="S298" s="4017">
        <f t="shared" si="62"/>
        <v>0</v>
      </c>
    </row>
    <row r="299" spans="1:19">
      <c r="A299" s="3157"/>
      <c r="B299" s="3428"/>
      <c r="C299" s="3156">
        <f t="shared" si="53"/>
        <v>1</v>
      </c>
      <c r="D299" s="3430"/>
      <c r="E299" s="3156">
        <f t="shared" si="54"/>
        <v>0</v>
      </c>
      <c r="F299" s="3430"/>
      <c r="G299" s="3156">
        <f t="shared" si="55"/>
        <v>1</v>
      </c>
      <c r="H299" s="3430"/>
      <c r="I299" s="3156">
        <f t="shared" si="56"/>
        <v>1</v>
      </c>
      <c r="J299" s="3430"/>
      <c r="K299" s="3156">
        <f t="shared" si="57"/>
        <v>1</v>
      </c>
      <c r="L299" s="3430"/>
      <c r="M299" s="3156">
        <f t="shared" si="58"/>
        <v>1</v>
      </c>
      <c r="N299" s="3430"/>
      <c r="O299" s="3156">
        <f t="shared" si="59"/>
        <v>1</v>
      </c>
      <c r="P299" s="3430"/>
      <c r="Q299" s="3156">
        <f t="shared" si="60"/>
        <v>1</v>
      </c>
      <c r="R299" s="3921">
        <f t="shared" si="61"/>
        <v>0</v>
      </c>
      <c r="S299" s="4017">
        <f t="shared" si="62"/>
        <v>0</v>
      </c>
    </row>
    <row r="300" spans="1:19">
      <c r="A300" s="3157"/>
      <c r="B300" s="3428"/>
      <c r="C300" s="3156">
        <f t="shared" si="53"/>
        <v>1</v>
      </c>
      <c r="D300" s="3430"/>
      <c r="E300" s="3156">
        <f t="shared" si="54"/>
        <v>0</v>
      </c>
      <c r="F300" s="3430"/>
      <c r="G300" s="3156">
        <f t="shared" si="55"/>
        <v>1</v>
      </c>
      <c r="H300" s="3430"/>
      <c r="I300" s="3156">
        <f t="shared" si="56"/>
        <v>1</v>
      </c>
      <c r="J300" s="3430"/>
      <c r="K300" s="3156">
        <f t="shared" si="57"/>
        <v>1</v>
      </c>
      <c r="L300" s="3430"/>
      <c r="M300" s="3156">
        <f t="shared" si="58"/>
        <v>1</v>
      </c>
      <c r="N300" s="3430"/>
      <c r="O300" s="3156">
        <f t="shared" si="59"/>
        <v>1</v>
      </c>
      <c r="P300" s="3430"/>
      <c r="Q300" s="3156">
        <f t="shared" si="60"/>
        <v>1</v>
      </c>
      <c r="R300" s="3921">
        <f t="shared" si="61"/>
        <v>0</v>
      </c>
      <c r="S300" s="4017">
        <f t="shared" si="62"/>
        <v>0</v>
      </c>
    </row>
    <row r="301" spans="1:19">
      <c r="A301" s="3157"/>
      <c r="B301" s="3428"/>
      <c r="C301" s="3156">
        <f t="shared" si="53"/>
        <v>1</v>
      </c>
      <c r="D301" s="3430"/>
      <c r="E301" s="3156">
        <f t="shared" si="54"/>
        <v>0</v>
      </c>
      <c r="F301" s="3430"/>
      <c r="G301" s="3156">
        <f t="shared" si="55"/>
        <v>1</v>
      </c>
      <c r="H301" s="3430"/>
      <c r="I301" s="3156">
        <f t="shared" si="56"/>
        <v>1</v>
      </c>
      <c r="J301" s="3430"/>
      <c r="K301" s="3156">
        <f t="shared" si="57"/>
        <v>1</v>
      </c>
      <c r="L301" s="3430"/>
      <c r="M301" s="3156">
        <f t="shared" si="58"/>
        <v>1</v>
      </c>
      <c r="N301" s="3430"/>
      <c r="O301" s="3156">
        <f t="shared" si="59"/>
        <v>1</v>
      </c>
      <c r="P301" s="3430"/>
      <c r="Q301" s="3156">
        <f t="shared" si="60"/>
        <v>1</v>
      </c>
      <c r="R301" s="3921">
        <f t="shared" si="61"/>
        <v>0</v>
      </c>
      <c r="S301" s="4017">
        <f t="shared" si="62"/>
        <v>0</v>
      </c>
    </row>
    <row r="302" spans="1:19">
      <c r="A302" s="3157"/>
      <c r="B302" s="3428"/>
      <c r="C302" s="3156">
        <f t="shared" si="53"/>
        <v>1</v>
      </c>
      <c r="D302" s="3430"/>
      <c r="E302" s="3156">
        <f t="shared" si="54"/>
        <v>0</v>
      </c>
      <c r="F302" s="3430"/>
      <c r="G302" s="3156">
        <f t="shared" si="55"/>
        <v>1</v>
      </c>
      <c r="H302" s="3430"/>
      <c r="I302" s="3156">
        <f t="shared" si="56"/>
        <v>1</v>
      </c>
      <c r="J302" s="3430"/>
      <c r="K302" s="3156">
        <f t="shared" si="57"/>
        <v>1</v>
      </c>
      <c r="L302" s="3430"/>
      <c r="M302" s="3156">
        <f t="shared" si="58"/>
        <v>1</v>
      </c>
      <c r="N302" s="3430"/>
      <c r="O302" s="3156">
        <f t="shared" si="59"/>
        <v>1</v>
      </c>
      <c r="P302" s="3430"/>
      <c r="Q302" s="3156">
        <f t="shared" si="60"/>
        <v>1</v>
      </c>
      <c r="R302" s="3921">
        <f t="shared" si="61"/>
        <v>0</v>
      </c>
      <c r="S302" s="4017">
        <f t="shared" si="62"/>
        <v>0</v>
      </c>
    </row>
    <row r="303" spans="1:19">
      <c r="A303" s="3157"/>
      <c r="B303" s="3428"/>
      <c r="C303" s="3156">
        <f t="shared" si="53"/>
        <v>1</v>
      </c>
      <c r="D303" s="3430"/>
      <c r="E303" s="3156">
        <f t="shared" si="54"/>
        <v>0</v>
      </c>
      <c r="F303" s="3430"/>
      <c r="G303" s="3156">
        <f t="shared" si="55"/>
        <v>1</v>
      </c>
      <c r="H303" s="3430"/>
      <c r="I303" s="3156">
        <f t="shared" si="56"/>
        <v>1</v>
      </c>
      <c r="J303" s="3430"/>
      <c r="K303" s="3156">
        <f t="shared" si="57"/>
        <v>1</v>
      </c>
      <c r="L303" s="3430"/>
      <c r="M303" s="3156">
        <f t="shared" si="58"/>
        <v>1</v>
      </c>
      <c r="N303" s="3430"/>
      <c r="O303" s="3156">
        <f t="shared" si="59"/>
        <v>1</v>
      </c>
      <c r="P303" s="3430"/>
      <c r="Q303" s="3156">
        <f t="shared" si="60"/>
        <v>1</v>
      </c>
      <c r="R303" s="3921">
        <f t="shared" si="61"/>
        <v>0</v>
      </c>
      <c r="S303" s="4017">
        <f t="shared" si="62"/>
        <v>0</v>
      </c>
    </row>
    <row r="304" spans="1:19">
      <c r="A304" s="3157"/>
      <c r="B304" s="3428"/>
      <c r="C304" s="3156">
        <f t="shared" si="53"/>
        <v>1</v>
      </c>
      <c r="D304" s="3430"/>
      <c r="E304" s="3156">
        <f t="shared" si="54"/>
        <v>0</v>
      </c>
      <c r="F304" s="3430"/>
      <c r="G304" s="3156">
        <f t="shared" si="55"/>
        <v>1</v>
      </c>
      <c r="H304" s="3430"/>
      <c r="I304" s="3156">
        <f t="shared" si="56"/>
        <v>1</v>
      </c>
      <c r="J304" s="3430"/>
      <c r="K304" s="3156">
        <f t="shared" si="57"/>
        <v>1</v>
      </c>
      <c r="L304" s="3430"/>
      <c r="M304" s="3156">
        <f t="shared" si="58"/>
        <v>1</v>
      </c>
      <c r="N304" s="3430"/>
      <c r="O304" s="3156">
        <f t="shared" si="59"/>
        <v>1</v>
      </c>
      <c r="P304" s="3430"/>
      <c r="Q304" s="3156">
        <f t="shared" si="60"/>
        <v>1</v>
      </c>
      <c r="R304" s="3921">
        <f t="shared" si="61"/>
        <v>0</v>
      </c>
      <c r="S304" s="4017">
        <f t="shared" si="62"/>
        <v>0</v>
      </c>
    </row>
    <row r="305" spans="1:19">
      <c r="A305" s="3157"/>
      <c r="B305" s="3428"/>
      <c r="C305" s="3156">
        <f t="shared" si="53"/>
        <v>1</v>
      </c>
      <c r="D305" s="3430"/>
      <c r="E305" s="3156">
        <f t="shared" si="54"/>
        <v>0</v>
      </c>
      <c r="F305" s="3430"/>
      <c r="G305" s="3156">
        <f t="shared" si="55"/>
        <v>1</v>
      </c>
      <c r="H305" s="3430"/>
      <c r="I305" s="3156">
        <f t="shared" si="56"/>
        <v>1</v>
      </c>
      <c r="J305" s="3430"/>
      <c r="K305" s="3156">
        <f t="shared" si="57"/>
        <v>1</v>
      </c>
      <c r="L305" s="3430"/>
      <c r="M305" s="3156">
        <f t="shared" si="58"/>
        <v>1</v>
      </c>
      <c r="N305" s="3430"/>
      <c r="O305" s="3156">
        <f t="shared" si="59"/>
        <v>1</v>
      </c>
      <c r="P305" s="3430"/>
      <c r="Q305" s="3156">
        <f t="shared" si="60"/>
        <v>1</v>
      </c>
      <c r="R305" s="3921">
        <f t="shared" si="61"/>
        <v>0</v>
      </c>
      <c r="S305" s="4017">
        <f t="shared" si="62"/>
        <v>0</v>
      </c>
    </row>
    <row r="306" spans="1:19">
      <c r="A306" s="3157"/>
      <c r="B306" s="3428"/>
      <c r="C306" s="3156">
        <f t="shared" si="53"/>
        <v>1</v>
      </c>
      <c r="D306" s="3430"/>
      <c r="E306" s="3156">
        <f t="shared" si="54"/>
        <v>0</v>
      </c>
      <c r="F306" s="3430"/>
      <c r="G306" s="3156">
        <f t="shared" si="55"/>
        <v>1</v>
      </c>
      <c r="H306" s="3430"/>
      <c r="I306" s="3156">
        <f t="shared" si="56"/>
        <v>1</v>
      </c>
      <c r="J306" s="3430"/>
      <c r="K306" s="3156">
        <f t="shared" si="57"/>
        <v>1</v>
      </c>
      <c r="L306" s="3430"/>
      <c r="M306" s="3156">
        <f t="shared" si="58"/>
        <v>1</v>
      </c>
      <c r="N306" s="3430"/>
      <c r="O306" s="3156">
        <f t="shared" si="59"/>
        <v>1</v>
      </c>
      <c r="P306" s="3430"/>
      <c r="Q306" s="3156">
        <f t="shared" si="60"/>
        <v>1</v>
      </c>
      <c r="R306" s="3921">
        <f t="shared" si="61"/>
        <v>0</v>
      </c>
      <c r="S306" s="4017">
        <f t="shared" si="62"/>
        <v>0</v>
      </c>
    </row>
    <row r="307" spans="1:19">
      <c r="A307" s="3157"/>
      <c r="B307" s="3428"/>
      <c r="C307" s="3156">
        <f t="shared" si="53"/>
        <v>1</v>
      </c>
      <c r="D307" s="3430"/>
      <c r="E307" s="3156">
        <f t="shared" si="54"/>
        <v>0</v>
      </c>
      <c r="F307" s="3430"/>
      <c r="G307" s="3156">
        <f t="shared" si="55"/>
        <v>1</v>
      </c>
      <c r="H307" s="3430"/>
      <c r="I307" s="3156">
        <f t="shared" si="56"/>
        <v>1</v>
      </c>
      <c r="J307" s="3430"/>
      <c r="K307" s="3156">
        <f t="shared" si="57"/>
        <v>1</v>
      </c>
      <c r="L307" s="3430"/>
      <c r="M307" s="3156">
        <f t="shared" si="58"/>
        <v>1</v>
      </c>
      <c r="N307" s="3430"/>
      <c r="O307" s="3156">
        <f t="shared" si="59"/>
        <v>1</v>
      </c>
      <c r="P307" s="3430"/>
      <c r="Q307" s="3156">
        <f t="shared" si="60"/>
        <v>1</v>
      </c>
      <c r="R307" s="3921">
        <f t="shared" si="61"/>
        <v>0</v>
      </c>
      <c r="S307" s="4017">
        <f t="shared" si="62"/>
        <v>0</v>
      </c>
    </row>
    <row r="308" spans="1:19">
      <c r="A308" s="3157"/>
      <c r="B308" s="3428"/>
      <c r="C308" s="3156">
        <f t="shared" si="53"/>
        <v>1</v>
      </c>
      <c r="D308" s="3430"/>
      <c r="E308" s="3156">
        <f t="shared" si="54"/>
        <v>0</v>
      </c>
      <c r="F308" s="3430"/>
      <c r="G308" s="3156">
        <f t="shared" si="55"/>
        <v>1</v>
      </c>
      <c r="H308" s="3430"/>
      <c r="I308" s="3156">
        <f t="shared" si="56"/>
        <v>1</v>
      </c>
      <c r="J308" s="3430"/>
      <c r="K308" s="3156">
        <f t="shared" si="57"/>
        <v>1</v>
      </c>
      <c r="L308" s="3430"/>
      <c r="M308" s="3156">
        <f t="shared" si="58"/>
        <v>1</v>
      </c>
      <c r="N308" s="3430"/>
      <c r="O308" s="3156">
        <f t="shared" si="59"/>
        <v>1</v>
      </c>
      <c r="P308" s="3430"/>
      <c r="Q308" s="3156">
        <f t="shared" si="60"/>
        <v>1</v>
      </c>
      <c r="R308" s="3921">
        <f t="shared" si="61"/>
        <v>0</v>
      </c>
      <c r="S308" s="4017">
        <f t="shared" si="62"/>
        <v>0</v>
      </c>
    </row>
    <row r="309" spans="1:19">
      <c r="A309" s="3157"/>
      <c r="B309" s="3428"/>
      <c r="C309" s="3156">
        <f t="shared" si="53"/>
        <v>1</v>
      </c>
      <c r="D309" s="3430"/>
      <c r="E309" s="3156">
        <f t="shared" si="54"/>
        <v>0</v>
      </c>
      <c r="F309" s="3430"/>
      <c r="G309" s="3156">
        <f t="shared" si="55"/>
        <v>1</v>
      </c>
      <c r="H309" s="3430"/>
      <c r="I309" s="3156">
        <f t="shared" si="56"/>
        <v>1</v>
      </c>
      <c r="J309" s="3430"/>
      <c r="K309" s="3156">
        <f t="shared" si="57"/>
        <v>1</v>
      </c>
      <c r="L309" s="3430"/>
      <c r="M309" s="3156">
        <f t="shared" si="58"/>
        <v>1</v>
      </c>
      <c r="N309" s="3430"/>
      <c r="O309" s="3156">
        <f t="shared" si="59"/>
        <v>1</v>
      </c>
      <c r="P309" s="3430"/>
      <c r="Q309" s="3156">
        <f t="shared" si="60"/>
        <v>1</v>
      </c>
      <c r="R309" s="3921">
        <f t="shared" si="61"/>
        <v>0</v>
      </c>
      <c r="S309" s="4017">
        <f t="shared" si="62"/>
        <v>0</v>
      </c>
    </row>
    <row r="310" spans="1:19">
      <c r="A310" s="3157"/>
      <c r="B310" s="3428"/>
      <c r="C310" s="3156">
        <f t="shared" si="53"/>
        <v>1</v>
      </c>
      <c r="D310" s="3430"/>
      <c r="E310" s="3156">
        <f t="shared" si="54"/>
        <v>0</v>
      </c>
      <c r="F310" s="3430"/>
      <c r="G310" s="3156">
        <f t="shared" si="55"/>
        <v>1</v>
      </c>
      <c r="H310" s="3430"/>
      <c r="I310" s="3156">
        <f t="shared" si="56"/>
        <v>1</v>
      </c>
      <c r="J310" s="3430"/>
      <c r="K310" s="3156">
        <f t="shared" si="57"/>
        <v>1</v>
      </c>
      <c r="L310" s="3430"/>
      <c r="M310" s="3156">
        <f t="shared" si="58"/>
        <v>1</v>
      </c>
      <c r="N310" s="3430"/>
      <c r="O310" s="3156">
        <f t="shared" si="59"/>
        <v>1</v>
      </c>
      <c r="P310" s="3430"/>
      <c r="Q310" s="3156">
        <f t="shared" si="60"/>
        <v>1</v>
      </c>
      <c r="R310" s="3921">
        <f t="shared" si="61"/>
        <v>0</v>
      </c>
      <c r="S310" s="4017">
        <f t="shared" si="62"/>
        <v>0</v>
      </c>
    </row>
    <row r="311" spans="1:19">
      <c r="A311" s="3157"/>
      <c r="B311" s="3428"/>
      <c r="C311" s="3156">
        <f t="shared" si="53"/>
        <v>1</v>
      </c>
      <c r="D311" s="3430"/>
      <c r="E311" s="3156">
        <f t="shared" si="54"/>
        <v>0</v>
      </c>
      <c r="F311" s="3430"/>
      <c r="G311" s="3156">
        <f t="shared" si="55"/>
        <v>1</v>
      </c>
      <c r="H311" s="3430"/>
      <c r="I311" s="3156">
        <f t="shared" si="56"/>
        <v>1</v>
      </c>
      <c r="J311" s="3430"/>
      <c r="K311" s="3156">
        <f t="shared" si="57"/>
        <v>1</v>
      </c>
      <c r="L311" s="3430"/>
      <c r="M311" s="3156">
        <f t="shared" si="58"/>
        <v>1</v>
      </c>
      <c r="N311" s="3430"/>
      <c r="O311" s="3156">
        <f t="shared" si="59"/>
        <v>1</v>
      </c>
      <c r="P311" s="3430"/>
      <c r="Q311" s="3156">
        <f t="shared" si="60"/>
        <v>1</v>
      </c>
      <c r="R311" s="3921">
        <f t="shared" si="61"/>
        <v>0</v>
      </c>
      <c r="S311" s="4017">
        <f t="shared" si="62"/>
        <v>0</v>
      </c>
    </row>
    <row r="312" spans="1:19">
      <c r="A312" s="3157"/>
      <c r="B312" s="3428"/>
      <c r="C312" s="3156">
        <f t="shared" si="53"/>
        <v>1</v>
      </c>
      <c r="D312" s="3430"/>
      <c r="E312" s="3156">
        <f t="shared" si="54"/>
        <v>0</v>
      </c>
      <c r="F312" s="3430"/>
      <c r="G312" s="3156">
        <f t="shared" si="55"/>
        <v>1</v>
      </c>
      <c r="H312" s="3430"/>
      <c r="I312" s="3156">
        <f t="shared" si="56"/>
        <v>1</v>
      </c>
      <c r="J312" s="3430"/>
      <c r="K312" s="3156">
        <f t="shared" si="57"/>
        <v>1</v>
      </c>
      <c r="L312" s="3430"/>
      <c r="M312" s="3156">
        <f t="shared" si="58"/>
        <v>1</v>
      </c>
      <c r="N312" s="3430"/>
      <c r="O312" s="3156">
        <f t="shared" si="59"/>
        <v>1</v>
      </c>
      <c r="P312" s="3430"/>
      <c r="Q312" s="3156">
        <f t="shared" si="60"/>
        <v>1</v>
      </c>
      <c r="R312" s="3921">
        <f t="shared" si="61"/>
        <v>0</v>
      </c>
      <c r="S312" s="4017">
        <f t="shared" si="62"/>
        <v>0</v>
      </c>
    </row>
    <row r="313" spans="1:19">
      <c r="A313" s="3157"/>
      <c r="B313" s="3428"/>
      <c r="C313" s="3156">
        <f t="shared" si="53"/>
        <v>1</v>
      </c>
      <c r="D313" s="3430"/>
      <c r="E313" s="3156">
        <f t="shared" si="54"/>
        <v>0</v>
      </c>
      <c r="F313" s="3430"/>
      <c r="G313" s="3156">
        <f t="shared" si="55"/>
        <v>1</v>
      </c>
      <c r="H313" s="3430"/>
      <c r="I313" s="3156">
        <f t="shared" si="56"/>
        <v>1</v>
      </c>
      <c r="J313" s="3430"/>
      <c r="K313" s="3156">
        <f t="shared" si="57"/>
        <v>1</v>
      </c>
      <c r="L313" s="3430"/>
      <c r="M313" s="3156">
        <f t="shared" si="58"/>
        <v>1</v>
      </c>
      <c r="N313" s="3430"/>
      <c r="O313" s="3156">
        <f t="shared" si="59"/>
        <v>1</v>
      </c>
      <c r="P313" s="3430"/>
      <c r="Q313" s="3156">
        <f t="shared" si="60"/>
        <v>1</v>
      </c>
      <c r="R313" s="3921">
        <f t="shared" si="61"/>
        <v>0</v>
      </c>
      <c r="S313" s="4017">
        <f t="shared" si="62"/>
        <v>0</v>
      </c>
    </row>
    <row r="314" spans="1:19">
      <c r="A314" s="3157"/>
      <c r="B314" s="3428"/>
      <c r="C314" s="3156">
        <f t="shared" si="53"/>
        <v>1</v>
      </c>
      <c r="D314" s="3430"/>
      <c r="E314" s="3156">
        <f t="shared" si="54"/>
        <v>0</v>
      </c>
      <c r="F314" s="3430"/>
      <c r="G314" s="3156">
        <f t="shared" si="55"/>
        <v>1</v>
      </c>
      <c r="H314" s="3430"/>
      <c r="I314" s="3156">
        <f t="shared" si="56"/>
        <v>1</v>
      </c>
      <c r="J314" s="3430"/>
      <c r="K314" s="3156">
        <f t="shared" si="57"/>
        <v>1</v>
      </c>
      <c r="L314" s="3430"/>
      <c r="M314" s="3156">
        <f t="shared" si="58"/>
        <v>1</v>
      </c>
      <c r="N314" s="3430"/>
      <c r="O314" s="3156">
        <f t="shared" si="59"/>
        <v>1</v>
      </c>
      <c r="P314" s="3430"/>
      <c r="Q314" s="3156">
        <f t="shared" si="60"/>
        <v>1</v>
      </c>
      <c r="R314" s="3921">
        <f t="shared" si="61"/>
        <v>0</v>
      </c>
      <c r="S314" s="4017">
        <f t="shared" si="62"/>
        <v>0</v>
      </c>
    </row>
    <row r="315" spans="1:19">
      <c r="A315" s="3157"/>
      <c r="B315" s="3428"/>
      <c r="C315" s="3156">
        <f t="shared" si="53"/>
        <v>1</v>
      </c>
      <c r="D315" s="3430"/>
      <c r="E315" s="3156">
        <f t="shared" si="54"/>
        <v>0</v>
      </c>
      <c r="F315" s="3430"/>
      <c r="G315" s="3156">
        <f t="shared" si="55"/>
        <v>1</v>
      </c>
      <c r="H315" s="3430"/>
      <c r="I315" s="3156">
        <f t="shared" si="56"/>
        <v>1</v>
      </c>
      <c r="J315" s="3430"/>
      <c r="K315" s="3156">
        <f t="shared" si="57"/>
        <v>1</v>
      </c>
      <c r="L315" s="3430"/>
      <c r="M315" s="3156">
        <f t="shared" si="58"/>
        <v>1</v>
      </c>
      <c r="N315" s="3430"/>
      <c r="O315" s="3156">
        <f t="shared" si="59"/>
        <v>1</v>
      </c>
      <c r="P315" s="3430"/>
      <c r="Q315" s="3156">
        <f t="shared" si="60"/>
        <v>1</v>
      </c>
      <c r="R315" s="3921">
        <f t="shared" si="61"/>
        <v>0</v>
      </c>
      <c r="S315" s="4017">
        <f t="shared" si="62"/>
        <v>0</v>
      </c>
    </row>
    <row r="316" spans="1:19">
      <c r="A316" s="3157"/>
      <c r="B316" s="3428"/>
      <c r="C316" s="3156">
        <f t="shared" si="53"/>
        <v>1</v>
      </c>
      <c r="D316" s="3430"/>
      <c r="E316" s="3156">
        <f t="shared" si="54"/>
        <v>0</v>
      </c>
      <c r="F316" s="3430"/>
      <c r="G316" s="3156">
        <f t="shared" si="55"/>
        <v>1</v>
      </c>
      <c r="H316" s="3430"/>
      <c r="I316" s="3156">
        <f t="shared" si="56"/>
        <v>1</v>
      </c>
      <c r="J316" s="3430"/>
      <c r="K316" s="3156">
        <f t="shared" si="57"/>
        <v>1</v>
      </c>
      <c r="L316" s="3430"/>
      <c r="M316" s="3156">
        <f t="shared" si="58"/>
        <v>1</v>
      </c>
      <c r="N316" s="3430"/>
      <c r="O316" s="3156">
        <f t="shared" si="59"/>
        <v>1</v>
      </c>
      <c r="P316" s="3430"/>
      <c r="Q316" s="3156">
        <f t="shared" si="60"/>
        <v>1</v>
      </c>
      <c r="R316" s="3921">
        <f t="shared" si="61"/>
        <v>0</v>
      </c>
      <c r="S316" s="4017">
        <f t="shared" si="62"/>
        <v>0</v>
      </c>
    </row>
    <row r="317" spans="1:19">
      <c r="A317" s="3157"/>
      <c r="B317" s="3428"/>
      <c r="C317" s="3156">
        <f t="shared" si="53"/>
        <v>1</v>
      </c>
      <c r="D317" s="3430"/>
      <c r="E317" s="3156">
        <f t="shared" si="54"/>
        <v>0</v>
      </c>
      <c r="F317" s="3430"/>
      <c r="G317" s="3156">
        <f t="shared" si="55"/>
        <v>1</v>
      </c>
      <c r="H317" s="3430"/>
      <c r="I317" s="3156">
        <f t="shared" si="56"/>
        <v>1</v>
      </c>
      <c r="J317" s="3430"/>
      <c r="K317" s="3156">
        <f t="shared" si="57"/>
        <v>1</v>
      </c>
      <c r="L317" s="3430"/>
      <c r="M317" s="3156">
        <f t="shared" si="58"/>
        <v>1</v>
      </c>
      <c r="N317" s="3430"/>
      <c r="O317" s="3156">
        <f t="shared" si="59"/>
        <v>1</v>
      </c>
      <c r="P317" s="3430"/>
      <c r="Q317" s="3156">
        <f t="shared" si="60"/>
        <v>1</v>
      </c>
      <c r="R317" s="3921">
        <f t="shared" si="61"/>
        <v>0</v>
      </c>
      <c r="S317" s="4017">
        <f t="shared" si="62"/>
        <v>0</v>
      </c>
    </row>
    <row r="318" spans="1:19">
      <c r="A318" s="3157"/>
      <c r="B318" s="3428"/>
      <c r="C318" s="3156">
        <f t="shared" si="53"/>
        <v>1</v>
      </c>
      <c r="D318" s="3430"/>
      <c r="E318" s="3156">
        <f t="shared" si="54"/>
        <v>0</v>
      </c>
      <c r="F318" s="3430"/>
      <c r="G318" s="3156">
        <f t="shared" si="55"/>
        <v>1</v>
      </c>
      <c r="H318" s="3430"/>
      <c r="I318" s="3156">
        <f t="shared" si="56"/>
        <v>1</v>
      </c>
      <c r="J318" s="3430"/>
      <c r="K318" s="3156">
        <f t="shared" si="57"/>
        <v>1</v>
      </c>
      <c r="L318" s="3430"/>
      <c r="M318" s="3156">
        <f t="shared" si="58"/>
        <v>1</v>
      </c>
      <c r="N318" s="3430"/>
      <c r="O318" s="3156">
        <f t="shared" si="59"/>
        <v>1</v>
      </c>
      <c r="P318" s="3430"/>
      <c r="Q318" s="3156">
        <f t="shared" si="60"/>
        <v>1</v>
      </c>
      <c r="R318" s="3921">
        <f t="shared" si="61"/>
        <v>0</v>
      </c>
      <c r="S318" s="4017">
        <f t="shared" si="62"/>
        <v>0</v>
      </c>
    </row>
    <row r="319" spans="1:19">
      <c r="A319" s="3157"/>
      <c r="B319" s="3428"/>
      <c r="C319" s="3156">
        <f t="shared" si="53"/>
        <v>1</v>
      </c>
      <c r="D319" s="3430"/>
      <c r="E319" s="3156">
        <f t="shared" si="54"/>
        <v>0</v>
      </c>
      <c r="F319" s="3430"/>
      <c r="G319" s="3156">
        <f t="shared" si="55"/>
        <v>1</v>
      </c>
      <c r="H319" s="3430"/>
      <c r="I319" s="3156">
        <f t="shared" si="56"/>
        <v>1</v>
      </c>
      <c r="J319" s="3430"/>
      <c r="K319" s="3156">
        <f t="shared" si="57"/>
        <v>1</v>
      </c>
      <c r="L319" s="3430"/>
      <c r="M319" s="3156">
        <f t="shared" si="58"/>
        <v>1</v>
      </c>
      <c r="N319" s="3430"/>
      <c r="O319" s="3156">
        <f t="shared" si="59"/>
        <v>1</v>
      </c>
      <c r="P319" s="3430"/>
      <c r="Q319" s="3156">
        <f t="shared" si="60"/>
        <v>1</v>
      </c>
      <c r="R319" s="3921">
        <f t="shared" si="61"/>
        <v>0</v>
      </c>
      <c r="S319" s="4017">
        <f t="shared" si="62"/>
        <v>0</v>
      </c>
    </row>
    <row r="320" spans="1:19">
      <c r="A320" s="3157"/>
      <c r="B320" s="3428"/>
      <c r="C320" s="3156">
        <f t="shared" si="53"/>
        <v>1</v>
      </c>
      <c r="D320" s="3430"/>
      <c r="E320" s="3156">
        <f t="shared" si="54"/>
        <v>0</v>
      </c>
      <c r="F320" s="3430"/>
      <c r="G320" s="3156">
        <f t="shared" si="55"/>
        <v>1</v>
      </c>
      <c r="H320" s="3430"/>
      <c r="I320" s="3156">
        <f t="shared" si="56"/>
        <v>1</v>
      </c>
      <c r="J320" s="3430"/>
      <c r="K320" s="3156">
        <f t="shared" si="57"/>
        <v>1</v>
      </c>
      <c r="L320" s="3430"/>
      <c r="M320" s="3156">
        <f t="shared" si="58"/>
        <v>1</v>
      </c>
      <c r="N320" s="3430"/>
      <c r="O320" s="3156">
        <f t="shared" si="59"/>
        <v>1</v>
      </c>
      <c r="P320" s="3430"/>
      <c r="Q320" s="3156">
        <f t="shared" si="60"/>
        <v>1</v>
      </c>
      <c r="R320" s="3921">
        <f t="shared" si="61"/>
        <v>0</v>
      </c>
      <c r="S320" s="4017">
        <f t="shared" si="62"/>
        <v>0</v>
      </c>
    </row>
    <row r="321" spans="1:19">
      <c r="A321" s="3157"/>
      <c r="B321" s="3428"/>
      <c r="C321" s="3156">
        <f t="shared" si="53"/>
        <v>1</v>
      </c>
      <c r="D321" s="3430"/>
      <c r="E321" s="3156">
        <f t="shared" si="54"/>
        <v>0</v>
      </c>
      <c r="F321" s="3430"/>
      <c r="G321" s="3156">
        <f t="shared" si="55"/>
        <v>1</v>
      </c>
      <c r="H321" s="3430"/>
      <c r="I321" s="3156">
        <f t="shared" si="56"/>
        <v>1</v>
      </c>
      <c r="J321" s="3430"/>
      <c r="K321" s="3156">
        <f t="shared" si="57"/>
        <v>1</v>
      </c>
      <c r="L321" s="3430"/>
      <c r="M321" s="3156">
        <f t="shared" si="58"/>
        <v>1</v>
      </c>
      <c r="N321" s="3430"/>
      <c r="O321" s="3156">
        <f t="shared" si="59"/>
        <v>1</v>
      </c>
      <c r="P321" s="3430"/>
      <c r="Q321" s="3156">
        <f t="shared" si="60"/>
        <v>1</v>
      </c>
      <c r="R321" s="3921">
        <f t="shared" si="61"/>
        <v>0</v>
      </c>
      <c r="S321" s="4017">
        <f t="shared" ref="S321:S384" si="63">ROUND(R321*B321/10000,0)</f>
        <v>0</v>
      </c>
    </row>
    <row r="322" spans="1:19">
      <c r="A322" s="3157"/>
      <c r="B322" s="3428"/>
      <c r="C322" s="3156">
        <f t="shared" si="53"/>
        <v>1</v>
      </c>
      <c r="D322" s="3430"/>
      <c r="E322" s="3156">
        <f t="shared" si="54"/>
        <v>0</v>
      </c>
      <c r="F322" s="3430"/>
      <c r="G322" s="3156">
        <f t="shared" si="55"/>
        <v>1</v>
      </c>
      <c r="H322" s="3430"/>
      <c r="I322" s="3156">
        <f t="shared" si="56"/>
        <v>1</v>
      </c>
      <c r="J322" s="3430"/>
      <c r="K322" s="3156">
        <f t="shared" si="57"/>
        <v>1</v>
      </c>
      <c r="L322" s="3430"/>
      <c r="M322" s="3156">
        <f t="shared" si="58"/>
        <v>1</v>
      </c>
      <c r="N322" s="3430"/>
      <c r="O322" s="3156">
        <f t="shared" si="59"/>
        <v>1</v>
      </c>
      <c r="P322" s="3430"/>
      <c r="Q322" s="3156">
        <f t="shared" si="60"/>
        <v>1</v>
      </c>
      <c r="R322" s="3921">
        <f t="shared" si="61"/>
        <v>0</v>
      </c>
      <c r="S322" s="4017">
        <f t="shared" si="63"/>
        <v>0</v>
      </c>
    </row>
    <row r="323" spans="1:19">
      <c r="A323" s="3157"/>
      <c r="B323" s="3428"/>
      <c r="C323" s="3156">
        <f t="shared" si="53"/>
        <v>1</v>
      </c>
      <c r="D323" s="3430"/>
      <c r="E323" s="3156">
        <f t="shared" si="54"/>
        <v>0</v>
      </c>
      <c r="F323" s="3430"/>
      <c r="G323" s="3156">
        <f t="shared" si="55"/>
        <v>1</v>
      </c>
      <c r="H323" s="3430"/>
      <c r="I323" s="3156">
        <f t="shared" si="56"/>
        <v>1</v>
      </c>
      <c r="J323" s="3430"/>
      <c r="K323" s="3156">
        <f t="shared" si="57"/>
        <v>1</v>
      </c>
      <c r="L323" s="3430"/>
      <c r="M323" s="3156">
        <f t="shared" si="58"/>
        <v>1</v>
      </c>
      <c r="N323" s="3430"/>
      <c r="O323" s="3156">
        <f t="shared" si="59"/>
        <v>1</v>
      </c>
      <c r="P323" s="3430"/>
      <c r="Q323" s="3156">
        <f t="shared" si="60"/>
        <v>1</v>
      </c>
      <c r="R323" s="3921">
        <f t="shared" si="61"/>
        <v>0</v>
      </c>
      <c r="S323" s="4017">
        <f t="shared" si="63"/>
        <v>0</v>
      </c>
    </row>
    <row r="324" spans="1:19">
      <c r="A324" s="3157"/>
      <c r="B324" s="3428"/>
      <c r="C324" s="3156">
        <f t="shared" si="53"/>
        <v>1</v>
      </c>
      <c r="D324" s="3430"/>
      <c r="E324" s="3156">
        <f t="shared" si="54"/>
        <v>0</v>
      </c>
      <c r="F324" s="3430"/>
      <c r="G324" s="3156">
        <f t="shared" si="55"/>
        <v>1</v>
      </c>
      <c r="H324" s="3430"/>
      <c r="I324" s="3156">
        <f t="shared" si="56"/>
        <v>1</v>
      </c>
      <c r="J324" s="3430"/>
      <c r="K324" s="3156">
        <f t="shared" si="57"/>
        <v>1</v>
      </c>
      <c r="L324" s="3430"/>
      <c r="M324" s="3156">
        <f t="shared" si="58"/>
        <v>1</v>
      </c>
      <c r="N324" s="3430"/>
      <c r="O324" s="3156">
        <f t="shared" si="59"/>
        <v>1</v>
      </c>
      <c r="P324" s="3430"/>
      <c r="Q324" s="3156">
        <f t="shared" si="60"/>
        <v>1</v>
      </c>
      <c r="R324" s="3921">
        <f t="shared" si="61"/>
        <v>0</v>
      </c>
      <c r="S324" s="4017">
        <f t="shared" si="63"/>
        <v>0</v>
      </c>
    </row>
    <row r="325" spans="1:19">
      <c r="A325" s="3157"/>
      <c r="B325" s="3428"/>
      <c r="C325" s="3156">
        <f t="shared" si="53"/>
        <v>1</v>
      </c>
      <c r="D325" s="3430"/>
      <c r="E325" s="3156">
        <f t="shared" si="54"/>
        <v>0</v>
      </c>
      <c r="F325" s="3430"/>
      <c r="G325" s="3156">
        <f t="shared" si="55"/>
        <v>1</v>
      </c>
      <c r="H325" s="3430"/>
      <c r="I325" s="3156">
        <f t="shared" si="56"/>
        <v>1</v>
      </c>
      <c r="J325" s="3430"/>
      <c r="K325" s="3156">
        <f t="shared" si="57"/>
        <v>1</v>
      </c>
      <c r="L325" s="3430"/>
      <c r="M325" s="3156">
        <f t="shared" si="58"/>
        <v>1</v>
      </c>
      <c r="N325" s="3430"/>
      <c r="O325" s="3156">
        <f t="shared" si="59"/>
        <v>1</v>
      </c>
      <c r="P325" s="3430"/>
      <c r="Q325" s="3156">
        <f t="shared" si="60"/>
        <v>1</v>
      </c>
      <c r="R325" s="3921">
        <f t="shared" si="61"/>
        <v>0</v>
      </c>
      <c r="S325" s="4017">
        <f t="shared" si="63"/>
        <v>0</v>
      </c>
    </row>
    <row r="326" spans="1:19">
      <c r="A326" s="3157"/>
      <c r="B326" s="3428"/>
      <c r="C326" s="3156">
        <f t="shared" si="53"/>
        <v>1</v>
      </c>
      <c r="D326" s="3430"/>
      <c r="E326" s="3156">
        <f t="shared" si="54"/>
        <v>0</v>
      </c>
      <c r="F326" s="3430"/>
      <c r="G326" s="3156">
        <f t="shared" si="55"/>
        <v>1</v>
      </c>
      <c r="H326" s="3430"/>
      <c r="I326" s="3156">
        <f t="shared" si="56"/>
        <v>1</v>
      </c>
      <c r="J326" s="3430"/>
      <c r="K326" s="3156">
        <f t="shared" si="57"/>
        <v>1</v>
      </c>
      <c r="L326" s="3430"/>
      <c r="M326" s="3156">
        <f t="shared" si="58"/>
        <v>1</v>
      </c>
      <c r="N326" s="3430"/>
      <c r="O326" s="3156">
        <f t="shared" si="59"/>
        <v>1</v>
      </c>
      <c r="P326" s="3430"/>
      <c r="Q326" s="3156">
        <f t="shared" si="60"/>
        <v>1</v>
      </c>
      <c r="R326" s="3921">
        <f t="shared" si="61"/>
        <v>0</v>
      </c>
      <c r="S326" s="4017">
        <f t="shared" si="63"/>
        <v>0</v>
      </c>
    </row>
    <row r="327" spans="1:19">
      <c r="A327" s="3157"/>
      <c r="B327" s="3428"/>
      <c r="C327" s="3156">
        <f t="shared" si="53"/>
        <v>1</v>
      </c>
      <c r="D327" s="3430"/>
      <c r="E327" s="3156">
        <f t="shared" si="54"/>
        <v>0</v>
      </c>
      <c r="F327" s="3430"/>
      <c r="G327" s="3156">
        <f t="shared" si="55"/>
        <v>1</v>
      </c>
      <c r="H327" s="3430"/>
      <c r="I327" s="3156">
        <f t="shared" si="56"/>
        <v>1</v>
      </c>
      <c r="J327" s="3430"/>
      <c r="K327" s="3156">
        <f t="shared" si="57"/>
        <v>1</v>
      </c>
      <c r="L327" s="3430"/>
      <c r="M327" s="3156">
        <f t="shared" si="58"/>
        <v>1</v>
      </c>
      <c r="N327" s="3430"/>
      <c r="O327" s="3156">
        <f t="shared" si="59"/>
        <v>1</v>
      </c>
      <c r="P327" s="3430"/>
      <c r="Q327" s="3156">
        <f t="shared" si="60"/>
        <v>1</v>
      </c>
      <c r="R327" s="3921">
        <f t="shared" si="61"/>
        <v>0</v>
      </c>
      <c r="S327" s="4017">
        <f t="shared" si="63"/>
        <v>0</v>
      </c>
    </row>
    <row r="328" spans="1:19">
      <c r="A328" s="3157"/>
      <c r="B328" s="3428"/>
      <c r="C328" s="3156">
        <f t="shared" si="53"/>
        <v>1</v>
      </c>
      <c r="D328" s="3430"/>
      <c r="E328" s="3156">
        <f t="shared" si="54"/>
        <v>0</v>
      </c>
      <c r="F328" s="3430"/>
      <c r="G328" s="3156">
        <f t="shared" si="55"/>
        <v>1</v>
      </c>
      <c r="H328" s="3430"/>
      <c r="I328" s="3156">
        <f t="shared" si="56"/>
        <v>1</v>
      </c>
      <c r="J328" s="3430"/>
      <c r="K328" s="3156">
        <f t="shared" si="57"/>
        <v>1</v>
      </c>
      <c r="L328" s="3430"/>
      <c r="M328" s="3156">
        <f t="shared" si="58"/>
        <v>1</v>
      </c>
      <c r="N328" s="3430"/>
      <c r="O328" s="3156">
        <f t="shared" si="59"/>
        <v>1</v>
      </c>
      <c r="P328" s="3430"/>
      <c r="Q328" s="3156">
        <f t="shared" si="60"/>
        <v>1</v>
      </c>
      <c r="R328" s="3921">
        <f t="shared" si="61"/>
        <v>0</v>
      </c>
      <c r="S328" s="4017">
        <f t="shared" si="63"/>
        <v>0</v>
      </c>
    </row>
    <row r="329" spans="1:19">
      <c r="A329" s="3157"/>
      <c r="B329" s="3428"/>
      <c r="C329" s="3156">
        <f t="shared" si="53"/>
        <v>1</v>
      </c>
      <c r="D329" s="3430"/>
      <c r="E329" s="3156">
        <f t="shared" si="54"/>
        <v>0</v>
      </c>
      <c r="F329" s="3430"/>
      <c r="G329" s="3156">
        <f t="shared" si="55"/>
        <v>1</v>
      </c>
      <c r="H329" s="3430"/>
      <c r="I329" s="3156">
        <f t="shared" si="56"/>
        <v>1</v>
      </c>
      <c r="J329" s="3430"/>
      <c r="K329" s="3156">
        <f t="shared" si="57"/>
        <v>1</v>
      </c>
      <c r="L329" s="3430"/>
      <c r="M329" s="3156">
        <f t="shared" si="58"/>
        <v>1</v>
      </c>
      <c r="N329" s="3430"/>
      <c r="O329" s="3156">
        <f t="shared" si="59"/>
        <v>1</v>
      </c>
      <c r="P329" s="3430"/>
      <c r="Q329" s="3156">
        <f t="shared" si="60"/>
        <v>1</v>
      </c>
      <c r="R329" s="3921">
        <f t="shared" si="61"/>
        <v>0</v>
      </c>
      <c r="S329" s="4017">
        <f t="shared" si="63"/>
        <v>0</v>
      </c>
    </row>
    <row r="330" spans="1:19">
      <c r="A330" s="3157"/>
      <c r="B330" s="3428"/>
      <c r="C330" s="3156">
        <f t="shared" si="53"/>
        <v>1</v>
      </c>
      <c r="D330" s="3430"/>
      <c r="E330" s="3156">
        <f t="shared" si="54"/>
        <v>0</v>
      </c>
      <c r="F330" s="3430"/>
      <c r="G330" s="3156">
        <f t="shared" si="55"/>
        <v>1</v>
      </c>
      <c r="H330" s="3430"/>
      <c r="I330" s="3156">
        <f t="shared" si="56"/>
        <v>1</v>
      </c>
      <c r="J330" s="3430"/>
      <c r="K330" s="3156">
        <f t="shared" si="57"/>
        <v>1</v>
      </c>
      <c r="L330" s="3430"/>
      <c r="M330" s="3156">
        <f t="shared" si="58"/>
        <v>1</v>
      </c>
      <c r="N330" s="3430"/>
      <c r="O330" s="3156">
        <f t="shared" si="59"/>
        <v>1</v>
      </c>
      <c r="P330" s="3430"/>
      <c r="Q330" s="3156">
        <f t="shared" si="60"/>
        <v>1</v>
      </c>
      <c r="R330" s="3921">
        <f t="shared" si="61"/>
        <v>0</v>
      </c>
      <c r="S330" s="4017">
        <f t="shared" si="63"/>
        <v>0</v>
      </c>
    </row>
    <row r="331" spans="1:19">
      <c r="A331" s="3157"/>
      <c r="B331" s="3428"/>
      <c r="C331" s="3156">
        <f t="shared" si="53"/>
        <v>1</v>
      </c>
      <c r="D331" s="3430"/>
      <c r="E331" s="3156">
        <f t="shared" si="54"/>
        <v>0</v>
      </c>
      <c r="F331" s="3430"/>
      <c r="G331" s="3156">
        <f t="shared" si="55"/>
        <v>1</v>
      </c>
      <c r="H331" s="3430"/>
      <c r="I331" s="3156">
        <f t="shared" si="56"/>
        <v>1</v>
      </c>
      <c r="J331" s="3430"/>
      <c r="K331" s="3156">
        <f t="shared" si="57"/>
        <v>1</v>
      </c>
      <c r="L331" s="3430"/>
      <c r="M331" s="3156">
        <f t="shared" si="58"/>
        <v>1</v>
      </c>
      <c r="N331" s="3430"/>
      <c r="O331" s="3156">
        <f t="shared" si="59"/>
        <v>1</v>
      </c>
      <c r="P331" s="3430"/>
      <c r="Q331" s="3156">
        <f t="shared" si="60"/>
        <v>1</v>
      </c>
      <c r="R331" s="3921">
        <f t="shared" si="61"/>
        <v>0</v>
      </c>
      <c r="S331" s="4017">
        <f t="shared" si="63"/>
        <v>0</v>
      </c>
    </row>
    <row r="332" spans="1:19">
      <c r="A332" s="3157"/>
      <c r="B332" s="3428"/>
      <c r="C332" s="3156">
        <f t="shared" si="53"/>
        <v>1</v>
      </c>
      <c r="D332" s="3430"/>
      <c r="E332" s="3156">
        <f t="shared" si="54"/>
        <v>0</v>
      </c>
      <c r="F332" s="3430"/>
      <c r="G332" s="3156">
        <f t="shared" si="55"/>
        <v>1</v>
      </c>
      <c r="H332" s="3430"/>
      <c r="I332" s="3156">
        <f t="shared" si="56"/>
        <v>1</v>
      </c>
      <c r="J332" s="3430"/>
      <c r="K332" s="3156">
        <f t="shared" si="57"/>
        <v>1</v>
      </c>
      <c r="L332" s="3430"/>
      <c r="M332" s="3156">
        <f t="shared" si="58"/>
        <v>1</v>
      </c>
      <c r="N332" s="3430"/>
      <c r="O332" s="3156">
        <f t="shared" si="59"/>
        <v>1</v>
      </c>
      <c r="P332" s="3430"/>
      <c r="Q332" s="3156">
        <f t="shared" si="60"/>
        <v>1</v>
      </c>
      <c r="R332" s="3921">
        <f t="shared" si="61"/>
        <v>0</v>
      </c>
      <c r="S332" s="4017">
        <f t="shared" si="63"/>
        <v>0</v>
      </c>
    </row>
    <row r="333" spans="1:19">
      <c r="A333" s="3157"/>
      <c r="B333" s="3428"/>
      <c r="C333" s="3156">
        <f t="shared" si="53"/>
        <v>1</v>
      </c>
      <c r="D333" s="3430"/>
      <c r="E333" s="3156">
        <f t="shared" si="54"/>
        <v>0</v>
      </c>
      <c r="F333" s="3430"/>
      <c r="G333" s="3156">
        <f t="shared" si="55"/>
        <v>1</v>
      </c>
      <c r="H333" s="3430"/>
      <c r="I333" s="3156">
        <f t="shared" si="56"/>
        <v>1</v>
      </c>
      <c r="J333" s="3430"/>
      <c r="K333" s="3156">
        <f t="shared" si="57"/>
        <v>1</v>
      </c>
      <c r="L333" s="3430"/>
      <c r="M333" s="3156">
        <f t="shared" si="58"/>
        <v>1</v>
      </c>
      <c r="N333" s="3430"/>
      <c r="O333" s="3156">
        <f t="shared" si="59"/>
        <v>1</v>
      </c>
      <c r="P333" s="3430"/>
      <c r="Q333" s="3156">
        <f t="shared" si="60"/>
        <v>1</v>
      </c>
      <c r="R333" s="3921">
        <f t="shared" si="61"/>
        <v>0</v>
      </c>
      <c r="S333" s="4017">
        <f t="shared" si="63"/>
        <v>0</v>
      </c>
    </row>
    <row r="334" spans="1:19">
      <c r="A334" s="3157"/>
      <c r="B334" s="3428"/>
      <c r="C334" s="3156">
        <f t="shared" si="53"/>
        <v>1</v>
      </c>
      <c r="D334" s="3430"/>
      <c r="E334" s="3156">
        <f t="shared" si="54"/>
        <v>0</v>
      </c>
      <c r="F334" s="3430"/>
      <c r="G334" s="3156">
        <f t="shared" si="55"/>
        <v>1</v>
      </c>
      <c r="H334" s="3430"/>
      <c r="I334" s="3156">
        <f t="shared" si="56"/>
        <v>1</v>
      </c>
      <c r="J334" s="3430"/>
      <c r="K334" s="3156">
        <f t="shared" si="57"/>
        <v>1</v>
      </c>
      <c r="L334" s="3430"/>
      <c r="M334" s="3156">
        <f t="shared" si="58"/>
        <v>1</v>
      </c>
      <c r="N334" s="3430"/>
      <c r="O334" s="3156">
        <f t="shared" si="59"/>
        <v>1</v>
      </c>
      <c r="P334" s="3430"/>
      <c r="Q334" s="3156">
        <f t="shared" si="60"/>
        <v>1</v>
      </c>
      <c r="R334" s="3921">
        <f t="shared" si="61"/>
        <v>0</v>
      </c>
      <c r="S334" s="4017">
        <f t="shared" si="63"/>
        <v>0</v>
      </c>
    </row>
    <row r="335" spans="1:19">
      <c r="A335" s="3157"/>
      <c r="B335" s="3428"/>
      <c r="C335" s="3156">
        <f t="shared" si="53"/>
        <v>1</v>
      </c>
      <c r="D335" s="3430"/>
      <c r="E335" s="3156">
        <f t="shared" si="54"/>
        <v>0</v>
      </c>
      <c r="F335" s="3430"/>
      <c r="G335" s="3156">
        <f t="shared" si="55"/>
        <v>1</v>
      </c>
      <c r="H335" s="3430"/>
      <c r="I335" s="3156">
        <f t="shared" si="56"/>
        <v>1</v>
      </c>
      <c r="J335" s="3430"/>
      <c r="K335" s="3156">
        <f t="shared" si="57"/>
        <v>1</v>
      </c>
      <c r="L335" s="3430"/>
      <c r="M335" s="3156">
        <f t="shared" si="58"/>
        <v>1</v>
      </c>
      <c r="N335" s="3430"/>
      <c r="O335" s="3156">
        <f t="shared" si="59"/>
        <v>1</v>
      </c>
      <c r="P335" s="3430"/>
      <c r="Q335" s="3156">
        <f t="shared" si="60"/>
        <v>1</v>
      </c>
      <c r="R335" s="3921">
        <f t="shared" si="61"/>
        <v>0</v>
      </c>
      <c r="S335" s="4017">
        <f t="shared" si="63"/>
        <v>0</v>
      </c>
    </row>
    <row r="336" spans="1:19">
      <c r="A336" s="3157"/>
      <c r="B336" s="3428"/>
      <c r="C336" s="3156">
        <f t="shared" si="53"/>
        <v>1</v>
      </c>
      <c r="D336" s="3430"/>
      <c r="E336" s="3156">
        <f t="shared" si="54"/>
        <v>0</v>
      </c>
      <c r="F336" s="3430"/>
      <c r="G336" s="3156">
        <f t="shared" si="55"/>
        <v>1</v>
      </c>
      <c r="H336" s="3430"/>
      <c r="I336" s="3156">
        <f t="shared" si="56"/>
        <v>1</v>
      </c>
      <c r="J336" s="3430"/>
      <c r="K336" s="3156">
        <f t="shared" si="57"/>
        <v>1</v>
      </c>
      <c r="L336" s="3430"/>
      <c r="M336" s="3156">
        <f t="shared" si="58"/>
        <v>1</v>
      </c>
      <c r="N336" s="3430"/>
      <c r="O336" s="3156">
        <f t="shared" si="59"/>
        <v>1</v>
      </c>
      <c r="P336" s="3430"/>
      <c r="Q336" s="3156">
        <f t="shared" si="60"/>
        <v>1</v>
      </c>
      <c r="R336" s="3921">
        <f t="shared" si="61"/>
        <v>0</v>
      </c>
      <c r="S336" s="4017">
        <f t="shared" si="63"/>
        <v>0</v>
      </c>
    </row>
    <row r="337" spans="1:19">
      <c r="A337" s="3157"/>
      <c r="B337" s="3428"/>
      <c r="C337" s="3156">
        <f t="shared" si="53"/>
        <v>1</v>
      </c>
      <c r="D337" s="3430"/>
      <c r="E337" s="3156">
        <f t="shared" si="54"/>
        <v>0</v>
      </c>
      <c r="F337" s="3430"/>
      <c r="G337" s="3156">
        <f t="shared" si="55"/>
        <v>1</v>
      </c>
      <c r="H337" s="3430"/>
      <c r="I337" s="3156">
        <f t="shared" si="56"/>
        <v>1</v>
      </c>
      <c r="J337" s="3430"/>
      <c r="K337" s="3156">
        <f t="shared" si="57"/>
        <v>1</v>
      </c>
      <c r="L337" s="3430"/>
      <c r="M337" s="3156">
        <f t="shared" si="58"/>
        <v>1</v>
      </c>
      <c r="N337" s="3430"/>
      <c r="O337" s="3156">
        <f t="shared" si="59"/>
        <v>1</v>
      </c>
      <c r="P337" s="3430"/>
      <c r="Q337" s="3156">
        <f t="shared" si="60"/>
        <v>1</v>
      </c>
      <c r="R337" s="3921">
        <f t="shared" si="61"/>
        <v>0</v>
      </c>
      <c r="S337" s="4017">
        <f t="shared" si="63"/>
        <v>0</v>
      </c>
    </row>
    <row r="338" spans="1:19">
      <c r="A338" s="3157"/>
      <c r="B338" s="3428"/>
      <c r="C338" s="3156">
        <f t="shared" si="53"/>
        <v>1</v>
      </c>
      <c r="D338" s="3430"/>
      <c r="E338" s="3156">
        <f t="shared" si="54"/>
        <v>0</v>
      </c>
      <c r="F338" s="3430"/>
      <c r="G338" s="3156">
        <f t="shared" si="55"/>
        <v>1</v>
      </c>
      <c r="H338" s="3430"/>
      <c r="I338" s="3156">
        <f t="shared" si="56"/>
        <v>1</v>
      </c>
      <c r="J338" s="3430"/>
      <c r="K338" s="3156">
        <f t="shared" si="57"/>
        <v>1</v>
      </c>
      <c r="L338" s="3430"/>
      <c r="M338" s="3156">
        <f t="shared" si="58"/>
        <v>1</v>
      </c>
      <c r="N338" s="3430"/>
      <c r="O338" s="3156">
        <f t="shared" si="59"/>
        <v>1</v>
      </c>
      <c r="P338" s="3430"/>
      <c r="Q338" s="3156">
        <f t="shared" si="60"/>
        <v>1</v>
      </c>
      <c r="R338" s="3921">
        <f t="shared" si="61"/>
        <v>0</v>
      </c>
      <c r="S338" s="4017">
        <f t="shared" si="63"/>
        <v>0</v>
      </c>
    </row>
    <row r="339" spans="1:19">
      <c r="A339" s="3157"/>
      <c r="B339" s="3428"/>
      <c r="C339" s="3156">
        <f t="shared" si="53"/>
        <v>1</v>
      </c>
      <c r="D339" s="3430"/>
      <c r="E339" s="3156">
        <f t="shared" si="54"/>
        <v>0</v>
      </c>
      <c r="F339" s="3430"/>
      <c r="G339" s="3156">
        <f t="shared" si="55"/>
        <v>1</v>
      </c>
      <c r="H339" s="3430"/>
      <c r="I339" s="3156">
        <f t="shared" si="56"/>
        <v>1</v>
      </c>
      <c r="J339" s="3430"/>
      <c r="K339" s="3156">
        <f t="shared" si="57"/>
        <v>1</v>
      </c>
      <c r="L339" s="3430"/>
      <c r="M339" s="3156">
        <f t="shared" si="58"/>
        <v>1</v>
      </c>
      <c r="N339" s="3430"/>
      <c r="O339" s="3156">
        <f t="shared" si="59"/>
        <v>1</v>
      </c>
      <c r="P339" s="3430"/>
      <c r="Q339" s="3156">
        <f t="shared" si="60"/>
        <v>1</v>
      </c>
      <c r="R339" s="3921">
        <f t="shared" si="61"/>
        <v>0</v>
      </c>
      <c r="S339" s="4017">
        <f t="shared" si="63"/>
        <v>0</v>
      </c>
    </row>
    <row r="340" spans="1:19">
      <c r="A340" s="3157"/>
      <c r="B340" s="3428"/>
      <c r="C340" s="3156">
        <f t="shared" si="53"/>
        <v>1</v>
      </c>
      <c r="D340" s="3430"/>
      <c r="E340" s="3156">
        <f t="shared" si="54"/>
        <v>0</v>
      </c>
      <c r="F340" s="3430"/>
      <c r="G340" s="3156">
        <f t="shared" si="55"/>
        <v>1</v>
      </c>
      <c r="H340" s="3430"/>
      <c r="I340" s="3156">
        <f t="shared" si="56"/>
        <v>1</v>
      </c>
      <c r="J340" s="3430"/>
      <c r="K340" s="3156">
        <f t="shared" si="57"/>
        <v>1</v>
      </c>
      <c r="L340" s="3430"/>
      <c r="M340" s="3156">
        <f t="shared" si="58"/>
        <v>1</v>
      </c>
      <c r="N340" s="3430"/>
      <c r="O340" s="3156">
        <f t="shared" si="59"/>
        <v>1</v>
      </c>
      <c r="P340" s="3430"/>
      <c r="Q340" s="3156">
        <f t="shared" si="60"/>
        <v>1</v>
      </c>
      <c r="R340" s="3921">
        <f t="shared" si="61"/>
        <v>0</v>
      </c>
      <c r="S340" s="4017">
        <f t="shared" si="63"/>
        <v>0</v>
      </c>
    </row>
    <row r="341" spans="1:19">
      <c r="A341" s="3157"/>
      <c r="B341" s="3428"/>
      <c r="C341" s="3156">
        <f t="shared" si="53"/>
        <v>1</v>
      </c>
      <c r="D341" s="3430"/>
      <c r="E341" s="3156">
        <f t="shared" si="54"/>
        <v>0</v>
      </c>
      <c r="F341" s="3430"/>
      <c r="G341" s="3156">
        <f t="shared" si="55"/>
        <v>1</v>
      </c>
      <c r="H341" s="3430"/>
      <c r="I341" s="3156">
        <f t="shared" si="56"/>
        <v>1</v>
      </c>
      <c r="J341" s="3430"/>
      <c r="K341" s="3156">
        <f t="shared" si="57"/>
        <v>1</v>
      </c>
      <c r="L341" s="3430"/>
      <c r="M341" s="3156">
        <f t="shared" si="58"/>
        <v>1</v>
      </c>
      <c r="N341" s="3430"/>
      <c r="O341" s="3156">
        <f t="shared" si="59"/>
        <v>1</v>
      </c>
      <c r="P341" s="3430"/>
      <c r="Q341" s="3156">
        <f t="shared" si="60"/>
        <v>1</v>
      </c>
      <c r="R341" s="3921">
        <f t="shared" si="61"/>
        <v>0</v>
      </c>
      <c r="S341" s="4017">
        <f t="shared" si="63"/>
        <v>0</v>
      </c>
    </row>
    <row r="342" spans="1:19">
      <c r="A342" s="3157"/>
      <c r="B342" s="3428"/>
      <c r="C342" s="3156">
        <f t="shared" si="53"/>
        <v>1</v>
      </c>
      <c r="D342" s="3430"/>
      <c r="E342" s="3156">
        <f t="shared" si="54"/>
        <v>0</v>
      </c>
      <c r="F342" s="3430"/>
      <c r="G342" s="3156">
        <f t="shared" si="55"/>
        <v>1</v>
      </c>
      <c r="H342" s="3430"/>
      <c r="I342" s="3156">
        <f t="shared" si="56"/>
        <v>1</v>
      </c>
      <c r="J342" s="3430"/>
      <c r="K342" s="3156">
        <f t="shared" si="57"/>
        <v>1</v>
      </c>
      <c r="L342" s="3430"/>
      <c r="M342" s="3156">
        <f t="shared" si="58"/>
        <v>1</v>
      </c>
      <c r="N342" s="3430"/>
      <c r="O342" s="3156">
        <f t="shared" si="59"/>
        <v>1</v>
      </c>
      <c r="P342" s="3430"/>
      <c r="Q342" s="3156">
        <f t="shared" si="60"/>
        <v>1</v>
      </c>
      <c r="R342" s="3921">
        <f t="shared" si="61"/>
        <v>0</v>
      </c>
      <c r="S342" s="4017">
        <f t="shared" si="63"/>
        <v>0</v>
      </c>
    </row>
    <row r="343" spans="1:19">
      <c r="A343" s="3157"/>
      <c r="B343" s="3428"/>
      <c r="C343" s="3156">
        <f t="shared" si="53"/>
        <v>1</v>
      </c>
      <c r="D343" s="3430"/>
      <c r="E343" s="3156">
        <f t="shared" si="54"/>
        <v>0</v>
      </c>
      <c r="F343" s="3430"/>
      <c r="G343" s="3156">
        <f t="shared" si="55"/>
        <v>1</v>
      </c>
      <c r="H343" s="3430"/>
      <c r="I343" s="3156">
        <f t="shared" si="56"/>
        <v>1</v>
      </c>
      <c r="J343" s="3430"/>
      <c r="K343" s="3156">
        <f t="shared" si="57"/>
        <v>1</v>
      </c>
      <c r="L343" s="3430"/>
      <c r="M343" s="3156">
        <f t="shared" si="58"/>
        <v>1</v>
      </c>
      <c r="N343" s="3430"/>
      <c r="O343" s="3156">
        <f t="shared" si="59"/>
        <v>1</v>
      </c>
      <c r="P343" s="3430"/>
      <c r="Q343" s="3156">
        <f t="shared" si="60"/>
        <v>1</v>
      </c>
      <c r="R343" s="3921">
        <f t="shared" si="61"/>
        <v>0</v>
      </c>
      <c r="S343" s="4017">
        <f t="shared" si="63"/>
        <v>0</v>
      </c>
    </row>
    <row r="344" spans="1:19">
      <c r="A344" s="3157"/>
      <c r="B344" s="3428"/>
      <c r="C344" s="3156">
        <f t="shared" si="53"/>
        <v>1</v>
      </c>
      <c r="D344" s="3430"/>
      <c r="E344" s="3156">
        <f t="shared" si="54"/>
        <v>0</v>
      </c>
      <c r="F344" s="3430"/>
      <c r="G344" s="3156">
        <f t="shared" si="55"/>
        <v>1</v>
      </c>
      <c r="H344" s="3430"/>
      <c r="I344" s="3156">
        <f t="shared" si="56"/>
        <v>1</v>
      </c>
      <c r="J344" s="3430"/>
      <c r="K344" s="3156">
        <f t="shared" si="57"/>
        <v>1</v>
      </c>
      <c r="L344" s="3430"/>
      <c r="M344" s="3156">
        <f t="shared" si="58"/>
        <v>1</v>
      </c>
      <c r="N344" s="3430"/>
      <c r="O344" s="3156">
        <f t="shared" si="59"/>
        <v>1</v>
      </c>
      <c r="P344" s="3430"/>
      <c r="Q344" s="3156">
        <f t="shared" si="60"/>
        <v>1</v>
      </c>
      <c r="R344" s="3921">
        <f t="shared" si="61"/>
        <v>0</v>
      </c>
      <c r="S344" s="4017">
        <f t="shared" si="63"/>
        <v>0</v>
      </c>
    </row>
    <row r="345" spans="1:19">
      <c r="A345" s="3157"/>
      <c r="B345" s="3428"/>
      <c r="C345" s="3156">
        <f t="shared" si="53"/>
        <v>1</v>
      </c>
      <c r="D345" s="3430"/>
      <c r="E345" s="3156">
        <f t="shared" si="54"/>
        <v>0</v>
      </c>
      <c r="F345" s="3430"/>
      <c r="G345" s="3156">
        <f t="shared" si="55"/>
        <v>1</v>
      </c>
      <c r="H345" s="3430"/>
      <c r="I345" s="3156">
        <f t="shared" si="56"/>
        <v>1</v>
      </c>
      <c r="J345" s="3430"/>
      <c r="K345" s="3156">
        <f t="shared" si="57"/>
        <v>1</v>
      </c>
      <c r="L345" s="3430"/>
      <c r="M345" s="3156">
        <f t="shared" si="58"/>
        <v>1</v>
      </c>
      <c r="N345" s="3430"/>
      <c r="O345" s="3156">
        <f t="shared" si="59"/>
        <v>1</v>
      </c>
      <c r="P345" s="3430"/>
      <c r="Q345" s="3156">
        <f t="shared" si="60"/>
        <v>1</v>
      </c>
      <c r="R345" s="3921">
        <f t="shared" si="61"/>
        <v>0</v>
      </c>
      <c r="S345" s="4017">
        <f t="shared" si="63"/>
        <v>0</v>
      </c>
    </row>
    <row r="346" spans="1:19">
      <c r="A346" s="3157"/>
      <c r="B346" s="3428"/>
      <c r="C346" s="3156">
        <f t="shared" ref="C346:C409" si="64">IF(B346="",1,(LOOKUP(B346,$3:$3,$4:$4)-LOOKUP($B$24,$3:$3,$4:$4)+100)/100)</f>
        <v>1</v>
      </c>
      <c r="D346" s="3430"/>
      <c r="E346" s="3156">
        <f t="shared" ref="E346:E409" si="65">(SUMIF($5:$5,D346,$6:$6)-SUMIF($5:$5,$D$24,$6:$6)+100)/100</f>
        <v>0</v>
      </c>
      <c r="F346" s="3430"/>
      <c r="G346" s="3156">
        <f t="shared" ref="G346:G409" si="66">(SUMIF($7:$7,F346,$8:$8)-SUMIF($7:$7,$F$24,$8:$8)+100)/100</f>
        <v>1</v>
      </c>
      <c r="H346" s="3430"/>
      <c r="I346" s="3156">
        <f t="shared" ref="I346:I409" si="67">(SUMIF($9:$9,H346,$10:$10)-SUMIF($9:$9,$H$24,$10:$10)+100)/100</f>
        <v>1</v>
      </c>
      <c r="J346" s="3430"/>
      <c r="K346" s="3156">
        <f t="shared" ref="K346:K409" si="68">(SUMIF($11:$11,J346,$12:$12)-SUMIF($11:$11,$J$24,$12:$12)+100)/100</f>
        <v>1</v>
      </c>
      <c r="L346" s="3430"/>
      <c r="M346" s="3156">
        <f t="shared" ref="M346:M409" si="69">(SUMIF($13:$13,L346,$14:$14)-SUMIF($13:$13,$L$24,$14:$14)+100)/100</f>
        <v>1</v>
      </c>
      <c r="N346" s="3430"/>
      <c r="O346" s="3156">
        <f t="shared" ref="O346:O409" si="70">(SUMIF($15:$15,N346,$16:$16)-SUMIF($15:$15,$N$24,$16:$16)+100)/100</f>
        <v>1</v>
      </c>
      <c r="P346" s="3430"/>
      <c r="Q346" s="3156">
        <f t="shared" ref="Q346:Q409" si="71">(SUMIF($17:$17,P346,$18:$18)-SUMIF($17:$17,$P$24,$18:$18)+100)/100</f>
        <v>1</v>
      </c>
      <c r="R346" s="3921">
        <f t="shared" ref="R346:R409" si="72">IF(B346="",0,ROUND($R$24*C346*E346*G346*I346*K346*M346*O346*Q346,0))</f>
        <v>0</v>
      </c>
      <c r="S346" s="4017">
        <f t="shared" si="63"/>
        <v>0</v>
      </c>
    </row>
    <row r="347" spans="1:19">
      <c r="A347" s="3157"/>
      <c r="B347" s="3428"/>
      <c r="C347" s="3156">
        <f t="shared" si="64"/>
        <v>1</v>
      </c>
      <c r="D347" s="3430"/>
      <c r="E347" s="3156">
        <f t="shared" si="65"/>
        <v>0</v>
      </c>
      <c r="F347" s="3430"/>
      <c r="G347" s="3156">
        <f t="shared" si="66"/>
        <v>1</v>
      </c>
      <c r="H347" s="3430"/>
      <c r="I347" s="3156">
        <f t="shared" si="67"/>
        <v>1</v>
      </c>
      <c r="J347" s="3430"/>
      <c r="K347" s="3156">
        <f t="shared" si="68"/>
        <v>1</v>
      </c>
      <c r="L347" s="3430"/>
      <c r="M347" s="3156">
        <f t="shared" si="69"/>
        <v>1</v>
      </c>
      <c r="N347" s="3430"/>
      <c r="O347" s="3156">
        <f t="shared" si="70"/>
        <v>1</v>
      </c>
      <c r="P347" s="3430"/>
      <c r="Q347" s="3156">
        <f t="shared" si="71"/>
        <v>1</v>
      </c>
      <c r="R347" s="3921">
        <f t="shared" si="72"/>
        <v>0</v>
      </c>
      <c r="S347" s="4017">
        <f t="shared" si="63"/>
        <v>0</v>
      </c>
    </row>
    <row r="348" spans="1:19">
      <c r="A348" s="3157"/>
      <c r="B348" s="3428"/>
      <c r="C348" s="3156">
        <f t="shared" si="64"/>
        <v>1</v>
      </c>
      <c r="D348" s="3430"/>
      <c r="E348" s="3156">
        <f t="shared" si="65"/>
        <v>0</v>
      </c>
      <c r="F348" s="3430"/>
      <c r="G348" s="3156">
        <f t="shared" si="66"/>
        <v>1</v>
      </c>
      <c r="H348" s="3430"/>
      <c r="I348" s="3156">
        <f t="shared" si="67"/>
        <v>1</v>
      </c>
      <c r="J348" s="3430"/>
      <c r="K348" s="3156">
        <f t="shared" si="68"/>
        <v>1</v>
      </c>
      <c r="L348" s="3430"/>
      <c r="M348" s="3156">
        <f t="shared" si="69"/>
        <v>1</v>
      </c>
      <c r="N348" s="3430"/>
      <c r="O348" s="3156">
        <f t="shared" si="70"/>
        <v>1</v>
      </c>
      <c r="P348" s="3430"/>
      <c r="Q348" s="3156">
        <f t="shared" si="71"/>
        <v>1</v>
      </c>
      <c r="R348" s="3921">
        <f t="shared" si="72"/>
        <v>0</v>
      </c>
      <c r="S348" s="4017">
        <f t="shared" si="63"/>
        <v>0</v>
      </c>
    </row>
    <row r="349" spans="1:19">
      <c r="A349" s="3157"/>
      <c r="B349" s="3428"/>
      <c r="C349" s="3156">
        <f t="shared" si="64"/>
        <v>1</v>
      </c>
      <c r="D349" s="3430"/>
      <c r="E349" s="3156">
        <f t="shared" si="65"/>
        <v>0</v>
      </c>
      <c r="F349" s="3430"/>
      <c r="G349" s="3156">
        <f t="shared" si="66"/>
        <v>1</v>
      </c>
      <c r="H349" s="3430"/>
      <c r="I349" s="3156">
        <f t="shared" si="67"/>
        <v>1</v>
      </c>
      <c r="J349" s="3430"/>
      <c r="K349" s="3156">
        <f t="shared" si="68"/>
        <v>1</v>
      </c>
      <c r="L349" s="3430"/>
      <c r="M349" s="3156">
        <f t="shared" si="69"/>
        <v>1</v>
      </c>
      <c r="N349" s="3430"/>
      <c r="O349" s="3156">
        <f t="shared" si="70"/>
        <v>1</v>
      </c>
      <c r="P349" s="3430"/>
      <c r="Q349" s="3156">
        <f t="shared" si="71"/>
        <v>1</v>
      </c>
      <c r="R349" s="3921">
        <f t="shared" si="72"/>
        <v>0</v>
      </c>
      <c r="S349" s="4017">
        <f t="shared" si="63"/>
        <v>0</v>
      </c>
    </row>
    <row r="350" spans="1:19">
      <c r="A350" s="3157"/>
      <c r="B350" s="3428"/>
      <c r="C350" s="3156">
        <f t="shared" si="64"/>
        <v>1</v>
      </c>
      <c r="D350" s="3430"/>
      <c r="E350" s="3156">
        <f t="shared" si="65"/>
        <v>0</v>
      </c>
      <c r="F350" s="3430"/>
      <c r="G350" s="3156">
        <f t="shared" si="66"/>
        <v>1</v>
      </c>
      <c r="H350" s="3430"/>
      <c r="I350" s="3156">
        <f t="shared" si="67"/>
        <v>1</v>
      </c>
      <c r="J350" s="3430"/>
      <c r="K350" s="3156">
        <f t="shared" si="68"/>
        <v>1</v>
      </c>
      <c r="L350" s="3430"/>
      <c r="M350" s="3156">
        <f t="shared" si="69"/>
        <v>1</v>
      </c>
      <c r="N350" s="3430"/>
      <c r="O350" s="3156">
        <f t="shared" si="70"/>
        <v>1</v>
      </c>
      <c r="P350" s="3430"/>
      <c r="Q350" s="3156">
        <f t="shared" si="71"/>
        <v>1</v>
      </c>
      <c r="R350" s="3921">
        <f t="shared" si="72"/>
        <v>0</v>
      </c>
      <c r="S350" s="4017">
        <f t="shared" si="63"/>
        <v>0</v>
      </c>
    </row>
    <row r="351" spans="1:19">
      <c r="A351" s="3157"/>
      <c r="B351" s="3428"/>
      <c r="C351" s="3156">
        <f t="shared" si="64"/>
        <v>1</v>
      </c>
      <c r="D351" s="3430"/>
      <c r="E351" s="3156">
        <f t="shared" si="65"/>
        <v>0</v>
      </c>
      <c r="F351" s="3430"/>
      <c r="G351" s="3156">
        <f t="shared" si="66"/>
        <v>1</v>
      </c>
      <c r="H351" s="3430"/>
      <c r="I351" s="3156">
        <f t="shared" si="67"/>
        <v>1</v>
      </c>
      <c r="J351" s="3430"/>
      <c r="K351" s="3156">
        <f t="shared" si="68"/>
        <v>1</v>
      </c>
      <c r="L351" s="3430"/>
      <c r="M351" s="3156">
        <f t="shared" si="69"/>
        <v>1</v>
      </c>
      <c r="N351" s="3430"/>
      <c r="O351" s="3156">
        <f t="shared" si="70"/>
        <v>1</v>
      </c>
      <c r="P351" s="3430"/>
      <c r="Q351" s="3156">
        <f t="shared" si="71"/>
        <v>1</v>
      </c>
      <c r="R351" s="3921">
        <f t="shared" si="72"/>
        <v>0</v>
      </c>
      <c r="S351" s="4017">
        <f t="shared" si="63"/>
        <v>0</v>
      </c>
    </row>
    <row r="352" spans="1:19">
      <c r="A352" s="3157"/>
      <c r="B352" s="3428"/>
      <c r="C352" s="3156">
        <f t="shared" si="64"/>
        <v>1</v>
      </c>
      <c r="D352" s="3430"/>
      <c r="E352" s="3156">
        <f t="shared" si="65"/>
        <v>0</v>
      </c>
      <c r="F352" s="3430"/>
      <c r="G352" s="3156">
        <f t="shared" si="66"/>
        <v>1</v>
      </c>
      <c r="H352" s="3430"/>
      <c r="I352" s="3156">
        <f t="shared" si="67"/>
        <v>1</v>
      </c>
      <c r="J352" s="3430"/>
      <c r="K352" s="3156">
        <f t="shared" si="68"/>
        <v>1</v>
      </c>
      <c r="L352" s="3430"/>
      <c r="M352" s="3156">
        <f t="shared" si="69"/>
        <v>1</v>
      </c>
      <c r="N352" s="3430"/>
      <c r="O352" s="3156">
        <f t="shared" si="70"/>
        <v>1</v>
      </c>
      <c r="P352" s="3430"/>
      <c r="Q352" s="3156">
        <f t="shared" si="71"/>
        <v>1</v>
      </c>
      <c r="R352" s="3921">
        <f t="shared" si="72"/>
        <v>0</v>
      </c>
      <c r="S352" s="4017">
        <f t="shared" si="63"/>
        <v>0</v>
      </c>
    </row>
    <row r="353" spans="1:19">
      <c r="A353" s="3157"/>
      <c r="B353" s="3428"/>
      <c r="C353" s="3156">
        <f t="shared" si="64"/>
        <v>1</v>
      </c>
      <c r="D353" s="3430"/>
      <c r="E353" s="3156">
        <f t="shared" si="65"/>
        <v>0</v>
      </c>
      <c r="F353" s="3430"/>
      <c r="G353" s="3156">
        <f t="shared" si="66"/>
        <v>1</v>
      </c>
      <c r="H353" s="3430"/>
      <c r="I353" s="3156">
        <f t="shared" si="67"/>
        <v>1</v>
      </c>
      <c r="J353" s="3430"/>
      <c r="K353" s="3156">
        <f t="shared" si="68"/>
        <v>1</v>
      </c>
      <c r="L353" s="3430"/>
      <c r="M353" s="3156">
        <f t="shared" si="69"/>
        <v>1</v>
      </c>
      <c r="N353" s="3430"/>
      <c r="O353" s="3156">
        <f t="shared" si="70"/>
        <v>1</v>
      </c>
      <c r="P353" s="3430"/>
      <c r="Q353" s="3156">
        <f t="shared" si="71"/>
        <v>1</v>
      </c>
      <c r="R353" s="3921">
        <f t="shared" si="72"/>
        <v>0</v>
      </c>
      <c r="S353" s="4017">
        <f t="shared" si="63"/>
        <v>0</v>
      </c>
    </row>
    <row r="354" spans="1:19">
      <c r="A354" s="3157"/>
      <c r="B354" s="3428"/>
      <c r="C354" s="3156">
        <f t="shared" si="64"/>
        <v>1</v>
      </c>
      <c r="D354" s="3430"/>
      <c r="E354" s="3156">
        <f t="shared" si="65"/>
        <v>0</v>
      </c>
      <c r="F354" s="3430"/>
      <c r="G354" s="3156">
        <f t="shared" si="66"/>
        <v>1</v>
      </c>
      <c r="H354" s="3430"/>
      <c r="I354" s="3156">
        <f t="shared" si="67"/>
        <v>1</v>
      </c>
      <c r="J354" s="3430"/>
      <c r="K354" s="3156">
        <f t="shared" si="68"/>
        <v>1</v>
      </c>
      <c r="L354" s="3430"/>
      <c r="M354" s="3156">
        <f t="shared" si="69"/>
        <v>1</v>
      </c>
      <c r="N354" s="3430"/>
      <c r="O354" s="3156">
        <f t="shared" si="70"/>
        <v>1</v>
      </c>
      <c r="P354" s="3430"/>
      <c r="Q354" s="3156">
        <f t="shared" si="71"/>
        <v>1</v>
      </c>
      <c r="R354" s="3921">
        <f t="shared" si="72"/>
        <v>0</v>
      </c>
      <c r="S354" s="4017">
        <f t="shared" si="63"/>
        <v>0</v>
      </c>
    </row>
    <row r="355" spans="1:19">
      <c r="A355" s="3157"/>
      <c r="B355" s="3428"/>
      <c r="C355" s="3156">
        <f t="shared" si="64"/>
        <v>1</v>
      </c>
      <c r="D355" s="3430"/>
      <c r="E355" s="3156">
        <f t="shared" si="65"/>
        <v>0</v>
      </c>
      <c r="F355" s="3430"/>
      <c r="G355" s="3156">
        <f t="shared" si="66"/>
        <v>1</v>
      </c>
      <c r="H355" s="3430"/>
      <c r="I355" s="3156">
        <f t="shared" si="67"/>
        <v>1</v>
      </c>
      <c r="J355" s="3430"/>
      <c r="K355" s="3156">
        <f t="shared" si="68"/>
        <v>1</v>
      </c>
      <c r="L355" s="3430"/>
      <c r="M355" s="3156">
        <f t="shared" si="69"/>
        <v>1</v>
      </c>
      <c r="N355" s="3430"/>
      <c r="O355" s="3156">
        <f t="shared" si="70"/>
        <v>1</v>
      </c>
      <c r="P355" s="3430"/>
      <c r="Q355" s="3156">
        <f t="shared" si="71"/>
        <v>1</v>
      </c>
      <c r="R355" s="3921">
        <f t="shared" si="72"/>
        <v>0</v>
      </c>
      <c r="S355" s="4017">
        <f t="shared" si="63"/>
        <v>0</v>
      </c>
    </row>
    <row r="356" spans="1:19">
      <c r="A356" s="3157"/>
      <c r="B356" s="3428"/>
      <c r="C356" s="3156">
        <f t="shared" si="64"/>
        <v>1</v>
      </c>
      <c r="D356" s="3430"/>
      <c r="E356" s="3156">
        <f t="shared" si="65"/>
        <v>0</v>
      </c>
      <c r="F356" s="3430"/>
      <c r="G356" s="3156">
        <f t="shared" si="66"/>
        <v>1</v>
      </c>
      <c r="H356" s="3430"/>
      <c r="I356" s="3156">
        <f t="shared" si="67"/>
        <v>1</v>
      </c>
      <c r="J356" s="3430"/>
      <c r="K356" s="3156">
        <f t="shared" si="68"/>
        <v>1</v>
      </c>
      <c r="L356" s="3430"/>
      <c r="M356" s="3156">
        <f t="shared" si="69"/>
        <v>1</v>
      </c>
      <c r="N356" s="3430"/>
      <c r="O356" s="3156">
        <f t="shared" si="70"/>
        <v>1</v>
      </c>
      <c r="P356" s="3430"/>
      <c r="Q356" s="3156">
        <f t="shared" si="71"/>
        <v>1</v>
      </c>
      <c r="R356" s="3921">
        <f t="shared" si="72"/>
        <v>0</v>
      </c>
      <c r="S356" s="4017">
        <f t="shared" si="63"/>
        <v>0</v>
      </c>
    </row>
    <row r="357" spans="1:19">
      <c r="A357" s="3157"/>
      <c r="B357" s="3428"/>
      <c r="C357" s="3156">
        <f t="shared" si="64"/>
        <v>1</v>
      </c>
      <c r="D357" s="3430"/>
      <c r="E357" s="3156">
        <f t="shared" si="65"/>
        <v>0</v>
      </c>
      <c r="F357" s="3430"/>
      <c r="G357" s="3156">
        <f t="shared" si="66"/>
        <v>1</v>
      </c>
      <c r="H357" s="3430"/>
      <c r="I357" s="3156">
        <f t="shared" si="67"/>
        <v>1</v>
      </c>
      <c r="J357" s="3430"/>
      <c r="K357" s="3156">
        <f t="shared" si="68"/>
        <v>1</v>
      </c>
      <c r="L357" s="3430"/>
      <c r="M357" s="3156">
        <f t="shared" si="69"/>
        <v>1</v>
      </c>
      <c r="N357" s="3430"/>
      <c r="O357" s="3156">
        <f t="shared" si="70"/>
        <v>1</v>
      </c>
      <c r="P357" s="3430"/>
      <c r="Q357" s="3156">
        <f t="shared" si="71"/>
        <v>1</v>
      </c>
      <c r="R357" s="3921">
        <f t="shared" si="72"/>
        <v>0</v>
      </c>
      <c r="S357" s="4017">
        <f t="shared" si="63"/>
        <v>0</v>
      </c>
    </row>
    <row r="358" spans="1:19">
      <c r="A358" s="3157"/>
      <c r="B358" s="3428"/>
      <c r="C358" s="3156">
        <f t="shared" si="64"/>
        <v>1</v>
      </c>
      <c r="D358" s="3430"/>
      <c r="E358" s="3156">
        <f t="shared" si="65"/>
        <v>0</v>
      </c>
      <c r="F358" s="3430"/>
      <c r="G358" s="3156">
        <f t="shared" si="66"/>
        <v>1</v>
      </c>
      <c r="H358" s="3430"/>
      <c r="I358" s="3156">
        <f t="shared" si="67"/>
        <v>1</v>
      </c>
      <c r="J358" s="3430"/>
      <c r="K358" s="3156">
        <f t="shared" si="68"/>
        <v>1</v>
      </c>
      <c r="L358" s="3430"/>
      <c r="M358" s="3156">
        <f t="shared" si="69"/>
        <v>1</v>
      </c>
      <c r="N358" s="3430"/>
      <c r="O358" s="3156">
        <f t="shared" si="70"/>
        <v>1</v>
      </c>
      <c r="P358" s="3430"/>
      <c r="Q358" s="3156">
        <f t="shared" si="71"/>
        <v>1</v>
      </c>
      <c r="R358" s="3921">
        <f t="shared" si="72"/>
        <v>0</v>
      </c>
      <c r="S358" s="4017">
        <f t="shared" si="63"/>
        <v>0</v>
      </c>
    </row>
    <row r="359" spans="1:19">
      <c r="A359" s="3157"/>
      <c r="B359" s="3428"/>
      <c r="C359" s="3156">
        <f t="shared" si="64"/>
        <v>1</v>
      </c>
      <c r="D359" s="3430"/>
      <c r="E359" s="3156">
        <f t="shared" si="65"/>
        <v>0</v>
      </c>
      <c r="F359" s="3430"/>
      <c r="G359" s="3156">
        <f t="shared" si="66"/>
        <v>1</v>
      </c>
      <c r="H359" s="3430"/>
      <c r="I359" s="3156">
        <f t="shared" si="67"/>
        <v>1</v>
      </c>
      <c r="J359" s="3430"/>
      <c r="K359" s="3156">
        <f t="shared" si="68"/>
        <v>1</v>
      </c>
      <c r="L359" s="3430"/>
      <c r="M359" s="3156">
        <f t="shared" si="69"/>
        <v>1</v>
      </c>
      <c r="N359" s="3430"/>
      <c r="O359" s="3156">
        <f t="shared" si="70"/>
        <v>1</v>
      </c>
      <c r="P359" s="3430"/>
      <c r="Q359" s="3156">
        <f t="shared" si="71"/>
        <v>1</v>
      </c>
      <c r="R359" s="3921">
        <f t="shared" si="72"/>
        <v>0</v>
      </c>
      <c r="S359" s="4017">
        <f t="shared" si="63"/>
        <v>0</v>
      </c>
    </row>
    <row r="360" spans="1:19">
      <c r="A360" s="3157"/>
      <c r="B360" s="3428"/>
      <c r="C360" s="3156">
        <f t="shared" si="64"/>
        <v>1</v>
      </c>
      <c r="D360" s="3430"/>
      <c r="E360" s="3156">
        <f t="shared" si="65"/>
        <v>0</v>
      </c>
      <c r="F360" s="3430"/>
      <c r="G360" s="3156">
        <f t="shared" si="66"/>
        <v>1</v>
      </c>
      <c r="H360" s="3430"/>
      <c r="I360" s="3156">
        <f t="shared" si="67"/>
        <v>1</v>
      </c>
      <c r="J360" s="3430"/>
      <c r="K360" s="3156">
        <f t="shared" si="68"/>
        <v>1</v>
      </c>
      <c r="L360" s="3430"/>
      <c r="M360" s="3156">
        <f t="shared" si="69"/>
        <v>1</v>
      </c>
      <c r="N360" s="3430"/>
      <c r="O360" s="3156">
        <f t="shared" si="70"/>
        <v>1</v>
      </c>
      <c r="P360" s="3430"/>
      <c r="Q360" s="3156">
        <f t="shared" si="71"/>
        <v>1</v>
      </c>
      <c r="R360" s="3921">
        <f t="shared" si="72"/>
        <v>0</v>
      </c>
      <c r="S360" s="4017">
        <f t="shared" si="63"/>
        <v>0</v>
      </c>
    </row>
    <row r="361" spans="1:19">
      <c r="A361" s="3157"/>
      <c r="B361" s="3428"/>
      <c r="C361" s="3156">
        <f t="shared" si="64"/>
        <v>1</v>
      </c>
      <c r="D361" s="3430"/>
      <c r="E361" s="3156">
        <f t="shared" si="65"/>
        <v>0</v>
      </c>
      <c r="F361" s="3430"/>
      <c r="G361" s="3156">
        <f t="shared" si="66"/>
        <v>1</v>
      </c>
      <c r="H361" s="3430"/>
      <c r="I361" s="3156">
        <f t="shared" si="67"/>
        <v>1</v>
      </c>
      <c r="J361" s="3430"/>
      <c r="K361" s="3156">
        <f t="shared" si="68"/>
        <v>1</v>
      </c>
      <c r="L361" s="3430"/>
      <c r="M361" s="3156">
        <f t="shared" si="69"/>
        <v>1</v>
      </c>
      <c r="N361" s="3430"/>
      <c r="O361" s="3156">
        <f t="shared" si="70"/>
        <v>1</v>
      </c>
      <c r="P361" s="3430"/>
      <c r="Q361" s="3156">
        <f t="shared" si="71"/>
        <v>1</v>
      </c>
      <c r="R361" s="3921">
        <f t="shared" si="72"/>
        <v>0</v>
      </c>
      <c r="S361" s="4017">
        <f t="shared" si="63"/>
        <v>0</v>
      </c>
    </row>
    <row r="362" spans="1:19">
      <c r="A362" s="3157"/>
      <c r="B362" s="3428"/>
      <c r="C362" s="3156">
        <f t="shared" si="64"/>
        <v>1</v>
      </c>
      <c r="D362" s="3430"/>
      <c r="E362" s="3156">
        <f t="shared" si="65"/>
        <v>0</v>
      </c>
      <c r="F362" s="3430"/>
      <c r="G362" s="3156">
        <f t="shared" si="66"/>
        <v>1</v>
      </c>
      <c r="H362" s="3430"/>
      <c r="I362" s="3156">
        <f t="shared" si="67"/>
        <v>1</v>
      </c>
      <c r="J362" s="3430"/>
      <c r="K362" s="3156">
        <f t="shared" si="68"/>
        <v>1</v>
      </c>
      <c r="L362" s="3430"/>
      <c r="M362" s="3156">
        <f t="shared" si="69"/>
        <v>1</v>
      </c>
      <c r="N362" s="3430"/>
      <c r="O362" s="3156">
        <f t="shared" si="70"/>
        <v>1</v>
      </c>
      <c r="P362" s="3430"/>
      <c r="Q362" s="3156">
        <f t="shared" si="71"/>
        <v>1</v>
      </c>
      <c r="R362" s="3921">
        <f t="shared" si="72"/>
        <v>0</v>
      </c>
      <c r="S362" s="4017">
        <f t="shared" si="63"/>
        <v>0</v>
      </c>
    </row>
    <row r="363" spans="1:19">
      <c r="A363" s="3157"/>
      <c r="B363" s="3428"/>
      <c r="C363" s="3156">
        <f t="shared" si="64"/>
        <v>1</v>
      </c>
      <c r="D363" s="3430"/>
      <c r="E363" s="3156">
        <f t="shared" si="65"/>
        <v>0</v>
      </c>
      <c r="F363" s="3430"/>
      <c r="G363" s="3156">
        <f t="shared" si="66"/>
        <v>1</v>
      </c>
      <c r="H363" s="3430"/>
      <c r="I363" s="3156">
        <f t="shared" si="67"/>
        <v>1</v>
      </c>
      <c r="J363" s="3430"/>
      <c r="K363" s="3156">
        <f t="shared" si="68"/>
        <v>1</v>
      </c>
      <c r="L363" s="3430"/>
      <c r="M363" s="3156">
        <f t="shared" si="69"/>
        <v>1</v>
      </c>
      <c r="N363" s="3430"/>
      <c r="O363" s="3156">
        <f t="shared" si="70"/>
        <v>1</v>
      </c>
      <c r="P363" s="3430"/>
      <c r="Q363" s="3156">
        <f t="shared" si="71"/>
        <v>1</v>
      </c>
      <c r="R363" s="3921">
        <f t="shared" si="72"/>
        <v>0</v>
      </c>
      <c r="S363" s="4017">
        <f t="shared" si="63"/>
        <v>0</v>
      </c>
    </row>
    <row r="364" spans="1:19">
      <c r="A364" s="3157"/>
      <c r="B364" s="3428"/>
      <c r="C364" s="3156">
        <f t="shared" si="64"/>
        <v>1</v>
      </c>
      <c r="D364" s="3430"/>
      <c r="E364" s="3156">
        <f t="shared" si="65"/>
        <v>0</v>
      </c>
      <c r="F364" s="3430"/>
      <c r="G364" s="3156">
        <f t="shared" si="66"/>
        <v>1</v>
      </c>
      <c r="H364" s="3430"/>
      <c r="I364" s="3156">
        <f t="shared" si="67"/>
        <v>1</v>
      </c>
      <c r="J364" s="3430"/>
      <c r="K364" s="3156">
        <f t="shared" si="68"/>
        <v>1</v>
      </c>
      <c r="L364" s="3430"/>
      <c r="M364" s="3156">
        <f t="shared" si="69"/>
        <v>1</v>
      </c>
      <c r="N364" s="3430"/>
      <c r="O364" s="3156">
        <f t="shared" si="70"/>
        <v>1</v>
      </c>
      <c r="P364" s="3430"/>
      <c r="Q364" s="3156">
        <f t="shared" si="71"/>
        <v>1</v>
      </c>
      <c r="R364" s="3921">
        <f t="shared" si="72"/>
        <v>0</v>
      </c>
      <c r="S364" s="4017">
        <f t="shared" si="63"/>
        <v>0</v>
      </c>
    </row>
    <row r="365" spans="1:19">
      <c r="A365" s="3157"/>
      <c r="B365" s="3428"/>
      <c r="C365" s="3156">
        <f t="shared" si="64"/>
        <v>1</v>
      </c>
      <c r="D365" s="3430"/>
      <c r="E365" s="3156">
        <f t="shared" si="65"/>
        <v>0</v>
      </c>
      <c r="F365" s="3430"/>
      <c r="G365" s="3156">
        <f t="shared" si="66"/>
        <v>1</v>
      </c>
      <c r="H365" s="3430"/>
      <c r="I365" s="3156">
        <f t="shared" si="67"/>
        <v>1</v>
      </c>
      <c r="J365" s="3430"/>
      <c r="K365" s="3156">
        <f t="shared" si="68"/>
        <v>1</v>
      </c>
      <c r="L365" s="3430"/>
      <c r="M365" s="3156">
        <f t="shared" si="69"/>
        <v>1</v>
      </c>
      <c r="N365" s="3430"/>
      <c r="O365" s="3156">
        <f t="shared" si="70"/>
        <v>1</v>
      </c>
      <c r="P365" s="3430"/>
      <c r="Q365" s="3156">
        <f t="shared" si="71"/>
        <v>1</v>
      </c>
      <c r="R365" s="3921">
        <f t="shared" si="72"/>
        <v>0</v>
      </c>
      <c r="S365" s="4017">
        <f t="shared" si="63"/>
        <v>0</v>
      </c>
    </row>
    <row r="366" spans="1:19">
      <c r="A366" s="3157"/>
      <c r="B366" s="3428"/>
      <c r="C366" s="3156">
        <f t="shared" si="64"/>
        <v>1</v>
      </c>
      <c r="D366" s="3430"/>
      <c r="E366" s="3156">
        <f t="shared" si="65"/>
        <v>0</v>
      </c>
      <c r="F366" s="3430"/>
      <c r="G366" s="3156">
        <f t="shared" si="66"/>
        <v>1</v>
      </c>
      <c r="H366" s="3430"/>
      <c r="I366" s="3156">
        <f t="shared" si="67"/>
        <v>1</v>
      </c>
      <c r="J366" s="3430"/>
      <c r="K366" s="3156">
        <f t="shared" si="68"/>
        <v>1</v>
      </c>
      <c r="L366" s="3430"/>
      <c r="M366" s="3156">
        <f t="shared" si="69"/>
        <v>1</v>
      </c>
      <c r="N366" s="3430"/>
      <c r="O366" s="3156">
        <f t="shared" si="70"/>
        <v>1</v>
      </c>
      <c r="P366" s="3430"/>
      <c r="Q366" s="3156">
        <f t="shared" si="71"/>
        <v>1</v>
      </c>
      <c r="R366" s="3921">
        <f t="shared" si="72"/>
        <v>0</v>
      </c>
      <c r="S366" s="4017">
        <f t="shared" si="63"/>
        <v>0</v>
      </c>
    </row>
    <row r="367" spans="1:19">
      <c r="A367" s="3157"/>
      <c r="B367" s="3428"/>
      <c r="C367" s="3156">
        <f t="shared" si="64"/>
        <v>1</v>
      </c>
      <c r="D367" s="3430"/>
      <c r="E367" s="3156">
        <f t="shared" si="65"/>
        <v>0</v>
      </c>
      <c r="F367" s="3430"/>
      <c r="G367" s="3156">
        <f t="shared" si="66"/>
        <v>1</v>
      </c>
      <c r="H367" s="3430"/>
      <c r="I367" s="3156">
        <f t="shared" si="67"/>
        <v>1</v>
      </c>
      <c r="J367" s="3430"/>
      <c r="K367" s="3156">
        <f t="shared" si="68"/>
        <v>1</v>
      </c>
      <c r="L367" s="3430"/>
      <c r="M367" s="3156">
        <f t="shared" si="69"/>
        <v>1</v>
      </c>
      <c r="N367" s="3430"/>
      <c r="O367" s="3156">
        <f t="shared" si="70"/>
        <v>1</v>
      </c>
      <c r="P367" s="3430"/>
      <c r="Q367" s="3156">
        <f t="shared" si="71"/>
        <v>1</v>
      </c>
      <c r="R367" s="3921">
        <f t="shared" si="72"/>
        <v>0</v>
      </c>
      <c r="S367" s="4017">
        <f t="shared" si="63"/>
        <v>0</v>
      </c>
    </row>
    <row r="368" spans="1:19">
      <c r="A368" s="3157"/>
      <c r="B368" s="3428"/>
      <c r="C368" s="3156">
        <f t="shared" si="64"/>
        <v>1</v>
      </c>
      <c r="D368" s="3430"/>
      <c r="E368" s="3156">
        <f t="shared" si="65"/>
        <v>0</v>
      </c>
      <c r="F368" s="3430"/>
      <c r="G368" s="3156">
        <f t="shared" si="66"/>
        <v>1</v>
      </c>
      <c r="H368" s="3430"/>
      <c r="I368" s="3156">
        <f t="shared" si="67"/>
        <v>1</v>
      </c>
      <c r="J368" s="3430"/>
      <c r="K368" s="3156">
        <f t="shared" si="68"/>
        <v>1</v>
      </c>
      <c r="L368" s="3430"/>
      <c r="M368" s="3156">
        <f t="shared" si="69"/>
        <v>1</v>
      </c>
      <c r="N368" s="3430"/>
      <c r="O368" s="3156">
        <f t="shared" si="70"/>
        <v>1</v>
      </c>
      <c r="P368" s="3430"/>
      <c r="Q368" s="3156">
        <f t="shared" si="71"/>
        <v>1</v>
      </c>
      <c r="R368" s="3921">
        <f t="shared" si="72"/>
        <v>0</v>
      </c>
      <c r="S368" s="4017">
        <f t="shared" si="63"/>
        <v>0</v>
      </c>
    </row>
    <row r="369" spans="1:19">
      <c r="A369" s="3157"/>
      <c r="B369" s="3428"/>
      <c r="C369" s="3156">
        <f t="shared" si="64"/>
        <v>1</v>
      </c>
      <c r="D369" s="3430"/>
      <c r="E369" s="3156">
        <f t="shared" si="65"/>
        <v>0</v>
      </c>
      <c r="F369" s="3430"/>
      <c r="G369" s="3156">
        <f t="shared" si="66"/>
        <v>1</v>
      </c>
      <c r="H369" s="3430"/>
      <c r="I369" s="3156">
        <f t="shared" si="67"/>
        <v>1</v>
      </c>
      <c r="J369" s="3430"/>
      <c r="K369" s="3156">
        <f t="shared" si="68"/>
        <v>1</v>
      </c>
      <c r="L369" s="3430"/>
      <c r="M369" s="3156">
        <f t="shared" si="69"/>
        <v>1</v>
      </c>
      <c r="N369" s="3430"/>
      <c r="O369" s="3156">
        <f t="shared" si="70"/>
        <v>1</v>
      </c>
      <c r="P369" s="3430"/>
      <c r="Q369" s="3156">
        <f t="shared" si="71"/>
        <v>1</v>
      </c>
      <c r="R369" s="3921">
        <f t="shared" si="72"/>
        <v>0</v>
      </c>
      <c r="S369" s="4017">
        <f t="shared" si="63"/>
        <v>0</v>
      </c>
    </row>
    <row r="370" spans="1:19">
      <c r="A370" s="3157"/>
      <c r="B370" s="3428"/>
      <c r="C370" s="3156">
        <f t="shared" si="64"/>
        <v>1</v>
      </c>
      <c r="D370" s="3430"/>
      <c r="E370" s="3156">
        <f t="shared" si="65"/>
        <v>0</v>
      </c>
      <c r="F370" s="3430"/>
      <c r="G370" s="3156">
        <f t="shared" si="66"/>
        <v>1</v>
      </c>
      <c r="H370" s="3430"/>
      <c r="I370" s="3156">
        <f t="shared" si="67"/>
        <v>1</v>
      </c>
      <c r="J370" s="3430"/>
      <c r="K370" s="3156">
        <f t="shared" si="68"/>
        <v>1</v>
      </c>
      <c r="L370" s="3430"/>
      <c r="M370" s="3156">
        <f t="shared" si="69"/>
        <v>1</v>
      </c>
      <c r="N370" s="3430"/>
      <c r="O370" s="3156">
        <f t="shared" si="70"/>
        <v>1</v>
      </c>
      <c r="P370" s="3430"/>
      <c r="Q370" s="3156">
        <f t="shared" si="71"/>
        <v>1</v>
      </c>
      <c r="R370" s="3921">
        <f t="shared" si="72"/>
        <v>0</v>
      </c>
      <c r="S370" s="4017">
        <f t="shared" si="63"/>
        <v>0</v>
      </c>
    </row>
    <row r="371" spans="1:19">
      <c r="A371" s="3157"/>
      <c r="B371" s="3428"/>
      <c r="C371" s="3156">
        <f t="shared" si="64"/>
        <v>1</v>
      </c>
      <c r="D371" s="3430"/>
      <c r="E371" s="3156">
        <f t="shared" si="65"/>
        <v>0</v>
      </c>
      <c r="F371" s="3430"/>
      <c r="G371" s="3156">
        <f t="shared" si="66"/>
        <v>1</v>
      </c>
      <c r="H371" s="3430"/>
      <c r="I371" s="3156">
        <f t="shared" si="67"/>
        <v>1</v>
      </c>
      <c r="J371" s="3430"/>
      <c r="K371" s="3156">
        <f t="shared" si="68"/>
        <v>1</v>
      </c>
      <c r="L371" s="3430"/>
      <c r="M371" s="3156">
        <f t="shared" si="69"/>
        <v>1</v>
      </c>
      <c r="N371" s="3430"/>
      <c r="O371" s="3156">
        <f t="shared" si="70"/>
        <v>1</v>
      </c>
      <c r="P371" s="3430"/>
      <c r="Q371" s="3156">
        <f t="shared" si="71"/>
        <v>1</v>
      </c>
      <c r="R371" s="3921">
        <f t="shared" si="72"/>
        <v>0</v>
      </c>
      <c r="S371" s="4017">
        <f t="shared" si="63"/>
        <v>0</v>
      </c>
    </row>
    <row r="372" spans="1:19">
      <c r="A372" s="3157"/>
      <c r="B372" s="3428"/>
      <c r="C372" s="3156">
        <f t="shared" si="64"/>
        <v>1</v>
      </c>
      <c r="D372" s="3430"/>
      <c r="E372" s="3156">
        <f t="shared" si="65"/>
        <v>0</v>
      </c>
      <c r="F372" s="3430"/>
      <c r="G372" s="3156">
        <f t="shared" si="66"/>
        <v>1</v>
      </c>
      <c r="H372" s="3430"/>
      <c r="I372" s="3156">
        <f t="shared" si="67"/>
        <v>1</v>
      </c>
      <c r="J372" s="3430"/>
      <c r="K372" s="3156">
        <f t="shared" si="68"/>
        <v>1</v>
      </c>
      <c r="L372" s="3430"/>
      <c r="M372" s="3156">
        <f t="shared" si="69"/>
        <v>1</v>
      </c>
      <c r="N372" s="3430"/>
      <c r="O372" s="3156">
        <f t="shared" si="70"/>
        <v>1</v>
      </c>
      <c r="P372" s="3430"/>
      <c r="Q372" s="3156">
        <f t="shared" si="71"/>
        <v>1</v>
      </c>
      <c r="R372" s="3921">
        <f t="shared" si="72"/>
        <v>0</v>
      </c>
      <c r="S372" s="4017">
        <f t="shared" si="63"/>
        <v>0</v>
      </c>
    </row>
    <row r="373" spans="1:19">
      <c r="A373" s="3157"/>
      <c r="B373" s="3428"/>
      <c r="C373" s="3156">
        <f t="shared" si="64"/>
        <v>1</v>
      </c>
      <c r="D373" s="3430"/>
      <c r="E373" s="3156">
        <f t="shared" si="65"/>
        <v>0</v>
      </c>
      <c r="F373" s="3430"/>
      <c r="G373" s="3156">
        <f t="shared" si="66"/>
        <v>1</v>
      </c>
      <c r="H373" s="3430"/>
      <c r="I373" s="3156">
        <f t="shared" si="67"/>
        <v>1</v>
      </c>
      <c r="J373" s="3430"/>
      <c r="K373" s="3156">
        <f t="shared" si="68"/>
        <v>1</v>
      </c>
      <c r="L373" s="3430"/>
      <c r="M373" s="3156">
        <f t="shared" si="69"/>
        <v>1</v>
      </c>
      <c r="N373" s="3430"/>
      <c r="O373" s="3156">
        <f t="shared" si="70"/>
        <v>1</v>
      </c>
      <c r="P373" s="3430"/>
      <c r="Q373" s="3156">
        <f t="shared" si="71"/>
        <v>1</v>
      </c>
      <c r="R373" s="3921">
        <f t="shared" si="72"/>
        <v>0</v>
      </c>
      <c r="S373" s="4017">
        <f t="shared" si="63"/>
        <v>0</v>
      </c>
    </row>
    <row r="374" spans="1:19">
      <c r="A374" s="3157"/>
      <c r="B374" s="3428"/>
      <c r="C374" s="3156">
        <f t="shared" si="64"/>
        <v>1</v>
      </c>
      <c r="D374" s="3430"/>
      <c r="E374" s="3156">
        <f t="shared" si="65"/>
        <v>0</v>
      </c>
      <c r="F374" s="3430"/>
      <c r="G374" s="3156">
        <f t="shared" si="66"/>
        <v>1</v>
      </c>
      <c r="H374" s="3430"/>
      <c r="I374" s="3156">
        <f t="shared" si="67"/>
        <v>1</v>
      </c>
      <c r="J374" s="3430"/>
      <c r="K374" s="3156">
        <f t="shared" si="68"/>
        <v>1</v>
      </c>
      <c r="L374" s="3430"/>
      <c r="M374" s="3156">
        <f t="shared" si="69"/>
        <v>1</v>
      </c>
      <c r="N374" s="3430"/>
      <c r="O374" s="3156">
        <f t="shared" si="70"/>
        <v>1</v>
      </c>
      <c r="P374" s="3430"/>
      <c r="Q374" s="3156">
        <f t="shared" si="71"/>
        <v>1</v>
      </c>
      <c r="R374" s="3921">
        <f t="shared" si="72"/>
        <v>0</v>
      </c>
      <c r="S374" s="4017">
        <f t="shared" si="63"/>
        <v>0</v>
      </c>
    </row>
    <row r="375" spans="1:19">
      <c r="A375" s="3157"/>
      <c r="B375" s="3428"/>
      <c r="C375" s="3156">
        <f t="shared" si="64"/>
        <v>1</v>
      </c>
      <c r="D375" s="3430"/>
      <c r="E375" s="3156">
        <f t="shared" si="65"/>
        <v>0</v>
      </c>
      <c r="F375" s="3430"/>
      <c r="G375" s="3156">
        <f t="shared" si="66"/>
        <v>1</v>
      </c>
      <c r="H375" s="3430"/>
      <c r="I375" s="3156">
        <f t="shared" si="67"/>
        <v>1</v>
      </c>
      <c r="J375" s="3430"/>
      <c r="K375" s="3156">
        <f t="shared" si="68"/>
        <v>1</v>
      </c>
      <c r="L375" s="3430"/>
      <c r="M375" s="3156">
        <f t="shared" si="69"/>
        <v>1</v>
      </c>
      <c r="N375" s="3430"/>
      <c r="O375" s="3156">
        <f t="shared" si="70"/>
        <v>1</v>
      </c>
      <c r="P375" s="3430"/>
      <c r="Q375" s="3156">
        <f t="shared" si="71"/>
        <v>1</v>
      </c>
      <c r="R375" s="3921">
        <f t="shared" si="72"/>
        <v>0</v>
      </c>
      <c r="S375" s="4017">
        <f t="shared" si="63"/>
        <v>0</v>
      </c>
    </row>
    <row r="376" spans="1:19">
      <c r="A376" s="3157"/>
      <c r="B376" s="3428"/>
      <c r="C376" s="3156">
        <f t="shared" si="64"/>
        <v>1</v>
      </c>
      <c r="D376" s="3430"/>
      <c r="E376" s="3156">
        <f t="shared" si="65"/>
        <v>0</v>
      </c>
      <c r="F376" s="3430"/>
      <c r="G376" s="3156">
        <f t="shared" si="66"/>
        <v>1</v>
      </c>
      <c r="H376" s="3430"/>
      <c r="I376" s="3156">
        <f t="shared" si="67"/>
        <v>1</v>
      </c>
      <c r="J376" s="3430"/>
      <c r="K376" s="3156">
        <f t="shared" si="68"/>
        <v>1</v>
      </c>
      <c r="L376" s="3430"/>
      <c r="M376" s="3156">
        <f t="shared" si="69"/>
        <v>1</v>
      </c>
      <c r="N376" s="3430"/>
      <c r="O376" s="3156">
        <f t="shared" si="70"/>
        <v>1</v>
      </c>
      <c r="P376" s="3430"/>
      <c r="Q376" s="3156">
        <f t="shared" si="71"/>
        <v>1</v>
      </c>
      <c r="R376" s="3921">
        <f t="shared" si="72"/>
        <v>0</v>
      </c>
      <c r="S376" s="4017">
        <f t="shared" si="63"/>
        <v>0</v>
      </c>
    </row>
    <row r="377" spans="1:19">
      <c r="A377" s="3157"/>
      <c r="B377" s="3428"/>
      <c r="C377" s="3156">
        <f t="shared" si="64"/>
        <v>1</v>
      </c>
      <c r="D377" s="3430"/>
      <c r="E377" s="3156">
        <f t="shared" si="65"/>
        <v>0</v>
      </c>
      <c r="F377" s="3430"/>
      <c r="G377" s="3156">
        <f t="shared" si="66"/>
        <v>1</v>
      </c>
      <c r="H377" s="3430"/>
      <c r="I377" s="3156">
        <f t="shared" si="67"/>
        <v>1</v>
      </c>
      <c r="J377" s="3430"/>
      <c r="K377" s="3156">
        <f t="shared" si="68"/>
        <v>1</v>
      </c>
      <c r="L377" s="3430"/>
      <c r="M377" s="3156">
        <f t="shared" si="69"/>
        <v>1</v>
      </c>
      <c r="N377" s="3430"/>
      <c r="O377" s="3156">
        <f t="shared" si="70"/>
        <v>1</v>
      </c>
      <c r="P377" s="3430"/>
      <c r="Q377" s="3156">
        <f t="shared" si="71"/>
        <v>1</v>
      </c>
      <c r="R377" s="3921">
        <f t="shared" si="72"/>
        <v>0</v>
      </c>
      <c r="S377" s="4017">
        <f t="shared" si="63"/>
        <v>0</v>
      </c>
    </row>
    <row r="378" spans="1:19">
      <c r="A378" s="3157"/>
      <c r="B378" s="3428"/>
      <c r="C378" s="3156">
        <f t="shared" si="64"/>
        <v>1</v>
      </c>
      <c r="D378" s="3430"/>
      <c r="E378" s="3156">
        <f t="shared" si="65"/>
        <v>0</v>
      </c>
      <c r="F378" s="3430"/>
      <c r="G378" s="3156">
        <f t="shared" si="66"/>
        <v>1</v>
      </c>
      <c r="H378" s="3430"/>
      <c r="I378" s="3156">
        <f t="shared" si="67"/>
        <v>1</v>
      </c>
      <c r="J378" s="3430"/>
      <c r="K378" s="3156">
        <f t="shared" si="68"/>
        <v>1</v>
      </c>
      <c r="L378" s="3430"/>
      <c r="M378" s="3156">
        <f t="shared" si="69"/>
        <v>1</v>
      </c>
      <c r="N378" s="3430"/>
      <c r="O378" s="3156">
        <f t="shared" si="70"/>
        <v>1</v>
      </c>
      <c r="P378" s="3430"/>
      <c r="Q378" s="3156">
        <f t="shared" si="71"/>
        <v>1</v>
      </c>
      <c r="R378" s="3921">
        <f t="shared" si="72"/>
        <v>0</v>
      </c>
      <c r="S378" s="4017">
        <f t="shared" si="63"/>
        <v>0</v>
      </c>
    </row>
    <row r="379" spans="1:19">
      <c r="A379" s="3157"/>
      <c r="B379" s="3428"/>
      <c r="C379" s="3156">
        <f t="shared" si="64"/>
        <v>1</v>
      </c>
      <c r="D379" s="3430"/>
      <c r="E379" s="3156">
        <f t="shared" si="65"/>
        <v>0</v>
      </c>
      <c r="F379" s="3430"/>
      <c r="G379" s="3156">
        <f t="shared" si="66"/>
        <v>1</v>
      </c>
      <c r="H379" s="3430"/>
      <c r="I379" s="3156">
        <f t="shared" si="67"/>
        <v>1</v>
      </c>
      <c r="J379" s="3430"/>
      <c r="K379" s="3156">
        <f t="shared" si="68"/>
        <v>1</v>
      </c>
      <c r="L379" s="3430"/>
      <c r="M379" s="3156">
        <f t="shared" si="69"/>
        <v>1</v>
      </c>
      <c r="N379" s="3430"/>
      <c r="O379" s="3156">
        <f t="shared" si="70"/>
        <v>1</v>
      </c>
      <c r="P379" s="3430"/>
      <c r="Q379" s="3156">
        <f t="shared" si="71"/>
        <v>1</v>
      </c>
      <c r="R379" s="3921">
        <f t="shared" si="72"/>
        <v>0</v>
      </c>
      <c r="S379" s="4017">
        <f t="shared" si="63"/>
        <v>0</v>
      </c>
    </row>
    <row r="380" spans="1:19">
      <c r="A380" s="3157"/>
      <c r="B380" s="3428"/>
      <c r="C380" s="3156">
        <f t="shared" si="64"/>
        <v>1</v>
      </c>
      <c r="D380" s="3430"/>
      <c r="E380" s="3156">
        <f t="shared" si="65"/>
        <v>0</v>
      </c>
      <c r="F380" s="3430"/>
      <c r="G380" s="3156">
        <f t="shared" si="66"/>
        <v>1</v>
      </c>
      <c r="H380" s="3430"/>
      <c r="I380" s="3156">
        <f t="shared" si="67"/>
        <v>1</v>
      </c>
      <c r="J380" s="3430"/>
      <c r="K380" s="3156">
        <f t="shared" si="68"/>
        <v>1</v>
      </c>
      <c r="L380" s="3430"/>
      <c r="M380" s="3156">
        <f t="shared" si="69"/>
        <v>1</v>
      </c>
      <c r="N380" s="3430"/>
      <c r="O380" s="3156">
        <f t="shared" si="70"/>
        <v>1</v>
      </c>
      <c r="P380" s="3430"/>
      <c r="Q380" s="3156">
        <f t="shared" si="71"/>
        <v>1</v>
      </c>
      <c r="R380" s="3921">
        <f t="shared" si="72"/>
        <v>0</v>
      </c>
      <c r="S380" s="4017">
        <f t="shared" si="63"/>
        <v>0</v>
      </c>
    </row>
    <row r="381" spans="1:19">
      <c r="A381" s="3157"/>
      <c r="B381" s="3428"/>
      <c r="C381" s="3156">
        <f t="shared" si="64"/>
        <v>1</v>
      </c>
      <c r="D381" s="3430"/>
      <c r="E381" s="3156">
        <f t="shared" si="65"/>
        <v>0</v>
      </c>
      <c r="F381" s="3430"/>
      <c r="G381" s="3156">
        <f t="shared" si="66"/>
        <v>1</v>
      </c>
      <c r="H381" s="3430"/>
      <c r="I381" s="3156">
        <f t="shared" si="67"/>
        <v>1</v>
      </c>
      <c r="J381" s="3430"/>
      <c r="K381" s="3156">
        <f t="shared" si="68"/>
        <v>1</v>
      </c>
      <c r="L381" s="3430"/>
      <c r="M381" s="3156">
        <f t="shared" si="69"/>
        <v>1</v>
      </c>
      <c r="N381" s="3430"/>
      <c r="O381" s="3156">
        <f t="shared" si="70"/>
        <v>1</v>
      </c>
      <c r="P381" s="3430"/>
      <c r="Q381" s="3156">
        <f t="shared" si="71"/>
        <v>1</v>
      </c>
      <c r="R381" s="3921">
        <f t="shared" si="72"/>
        <v>0</v>
      </c>
      <c r="S381" s="4017">
        <f t="shared" si="63"/>
        <v>0</v>
      </c>
    </row>
    <row r="382" spans="1:19">
      <c r="A382" s="3157"/>
      <c r="B382" s="3428"/>
      <c r="C382" s="3156">
        <f t="shared" si="64"/>
        <v>1</v>
      </c>
      <c r="D382" s="3430"/>
      <c r="E382" s="3156">
        <f t="shared" si="65"/>
        <v>0</v>
      </c>
      <c r="F382" s="3430"/>
      <c r="G382" s="3156">
        <f t="shared" si="66"/>
        <v>1</v>
      </c>
      <c r="H382" s="3430"/>
      <c r="I382" s="3156">
        <f t="shared" si="67"/>
        <v>1</v>
      </c>
      <c r="J382" s="3430"/>
      <c r="K382" s="3156">
        <f t="shared" si="68"/>
        <v>1</v>
      </c>
      <c r="L382" s="3430"/>
      <c r="M382" s="3156">
        <f t="shared" si="69"/>
        <v>1</v>
      </c>
      <c r="N382" s="3430"/>
      <c r="O382" s="3156">
        <f t="shared" si="70"/>
        <v>1</v>
      </c>
      <c r="P382" s="3430"/>
      <c r="Q382" s="3156">
        <f t="shared" si="71"/>
        <v>1</v>
      </c>
      <c r="R382" s="3921">
        <f t="shared" si="72"/>
        <v>0</v>
      </c>
      <c r="S382" s="4017">
        <f t="shared" si="63"/>
        <v>0</v>
      </c>
    </row>
    <row r="383" spans="1:19">
      <c r="A383" s="3157"/>
      <c r="B383" s="3428"/>
      <c r="C383" s="3156">
        <f t="shared" si="64"/>
        <v>1</v>
      </c>
      <c r="D383" s="3430"/>
      <c r="E383" s="3156">
        <f t="shared" si="65"/>
        <v>0</v>
      </c>
      <c r="F383" s="3430"/>
      <c r="G383" s="3156">
        <f t="shared" si="66"/>
        <v>1</v>
      </c>
      <c r="H383" s="3430"/>
      <c r="I383" s="3156">
        <f t="shared" si="67"/>
        <v>1</v>
      </c>
      <c r="J383" s="3430"/>
      <c r="K383" s="3156">
        <f t="shared" si="68"/>
        <v>1</v>
      </c>
      <c r="L383" s="3430"/>
      <c r="M383" s="3156">
        <f t="shared" si="69"/>
        <v>1</v>
      </c>
      <c r="N383" s="3430"/>
      <c r="O383" s="3156">
        <f t="shared" si="70"/>
        <v>1</v>
      </c>
      <c r="P383" s="3430"/>
      <c r="Q383" s="3156">
        <f t="shared" si="71"/>
        <v>1</v>
      </c>
      <c r="R383" s="3921">
        <f t="shared" si="72"/>
        <v>0</v>
      </c>
      <c r="S383" s="4017">
        <f t="shared" si="63"/>
        <v>0</v>
      </c>
    </row>
    <row r="384" spans="1:19">
      <c r="A384" s="3157"/>
      <c r="B384" s="3428"/>
      <c r="C384" s="3156">
        <f t="shared" si="64"/>
        <v>1</v>
      </c>
      <c r="D384" s="3430"/>
      <c r="E384" s="3156">
        <f t="shared" si="65"/>
        <v>0</v>
      </c>
      <c r="F384" s="3430"/>
      <c r="G384" s="3156">
        <f t="shared" si="66"/>
        <v>1</v>
      </c>
      <c r="H384" s="3430"/>
      <c r="I384" s="3156">
        <f t="shared" si="67"/>
        <v>1</v>
      </c>
      <c r="J384" s="3430"/>
      <c r="K384" s="3156">
        <f t="shared" si="68"/>
        <v>1</v>
      </c>
      <c r="L384" s="3430"/>
      <c r="M384" s="3156">
        <f t="shared" si="69"/>
        <v>1</v>
      </c>
      <c r="N384" s="3430"/>
      <c r="O384" s="3156">
        <f t="shared" si="70"/>
        <v>1</v>
      </c>
      <c r="P384" s="3430"/>
      <c r="Q384" s="3156">
        <f t="shared" si="71"/>
        <v>1</v>
      </c>
      <c r="R384" s="3921">
        <f t="shared" si="72"/>
        <v>0</v>
      </c>
      <c r="S384" s="4017">
        <f t="shared" si="63"/>
        <v>0</v>
      </c>
    </row>
    <row r="385" spans="1:19">
      <c r="A385" s="3157"/>
      <c r="B385" s="3428"/>
      <c r="C385" s="3156">
        <f t="shared" si="64"/>
        <v>1</v>
      </c>
      <c r="D385" s="3430"/>
      <c r="E385" s="3156">
        <f t="shared" si="65"/>
        <v>0</v>
      </c>
      <c r="F385" s="3430"/>
      <c r="G385" s="3156">
        <f t="shared" si="66"/>
        <v>1</v>
      </c>
      <c r="H385" s="3430"/>
      <c r="I385" s="3156">
        <f t="shared" si="67"/>
        <v>1</v>
      </c>
      <c r="J385" s="3430"/>
      <c r="K385" s="3156">
        <f t="shared" si="68"/>
        <v>1</v>
      </c>
      <c r="L385" s="3430"/>
      <c r="M385" s="3156">
        <f t="shared" si="69"/>
        <v>1</v>
      </c>
      <c r="N385" s="3430"/>
      <c r="O385" s="3156">
        <f t="shared" si="70"/>
        <v>1</v>
      </c>
      <c r="P385" s="3430"/>
      <c r="Q385" s="3156">
        <f t="shared" si="71"/>
        <v>1</v>
      </c>
      <c r="R385" s="3921">
        <f t="shared" si="72"/>
        <v>0</v>
      </c>
      <c r="S385" s="4017">
        <f t="shared" ref="S385:S422" si="73">ROUND(R385*B385/10000,0)</f>
        <v>0</v>
      </c>
    </row>
    <row r="386" spans="1:19">
      <c r="A386" s="3157"/>
      <c r="B386" s="3428"/>
      <c r="C386" s="3156">
        <f t="shared" si="64"/>
        <v>1</v>
      </c>
      <c r="D386" s="3430"/>
      <c r="E386" s="3156">
        <f t="shared" si="65"/>
        <v>0</v>
      </c>
      <c r="F386" s="3430"/>
      <c r="G386" s="3156">
        <f t="shared" si="66"/>
        <v>1</v>
      </c>
      <c r="H386" s="3430"/>
      <c r="I386" s="3156">
        <f t="shared" si="67"/>
        <v>1</v>
      </c>
      <c r="J386" s="3430"/>
      <c r="K386" s="3156">
        <f t="shared" si="68"/>
        <v>1</v>
      </c>
      <c r="L386" s="3430"/>
      <c r="M386" s="3156">
        <f t="shared" si="69"/>
        <v>1</v>
      </c>
      <c r="N386" s="3430"/>
      <c r="O386" s="3156">
        <f t="shared" si="70"/>
        <v>1</v>
      </c>
      <c r="P386" s="3430"/>
      <c r="Q386" s="3156">
        <f t="shared" si="71"/>
        <v>1</v>
      </c>
      <c r="R386" s="3921">
        <f t="shared" si="72"/>
        <v>0</v>
      </c>
      <c r="S386" s="4017">
        <f t="shared" si="73"/>
        <v>0</v>
      </c>
    </row>
    <row r="387" spans="1:19">
      <c r="A387" s="3157"/>
      <c r="B387" s="3428"/>
      <c r="C387" s="3156">
        <f t="shared" si="64"/>
        <v>1</v>
      </c>
      <c r="D387" s="3430"/>
      <c r="E387" s="3156">
        <f t="shared" si="65"/>
        <v>0</v>
      </c>
      <c r="F387" s="3430"/>
      <c r="G387" s="3156">
        <f t="shared" si="66"/>
        <v>1</v>
      </c>
      <c r="H387" s="3430"/>
      <c r="I387" s="3156">
        <f t="shared" si="67"/>
        <v>1</v>
      </c>
      <c r="J387" s="3430"/>
      <c r="K387" s="3156">
        <f t="shared" si="68"/>
        <v>1</v>
      </c>
      <c r="L387" s="3430"/>
      <c r="M387" s="3156">
        <f t="shared" si="69"/>
        <v>1</v>
      </c>
      <c r="N387" s="3430"/>
      <c r="O387" s="3156">
        <f t="shared" si="70"/>
        <v>1</v>
      </c>
      <c r="P387" s="3430"/>
      <c r="Q387" s="3156">
        <f t="shared" si="71"/>
        <v>1</v>
      </c>
      <c r="R387" s="3921">
        <f t="shared" si="72"/>
        <v>0</v>
      </c>
      <c r="S387" s="4017">
        <f t="shared" si="73"/>
        <v>0</v>
      </c>
    </row>
    <row r="388" spans="1:19">
      <c r="A388" s="3157"/>
      <c r="B388" s="3428"/>
      <c r="C388" s="3156">
        <f t="shared" si="64"/>
        <v>1</v>
      </c>
      <c r="D388" s="3430"/>
      <c r="E388" s="3156">
        <f t="shared" si="65"/>
        <v>0</v>
      </c>
      <c r="F388" s="3430"/>
      <c r="G388" s="3156">
        <f t="shared" si="66"/>
        <v>1</v>
      </c>
      <c r="H388" s="3430"/>
      <c r="I388" s="3156">
        <f t="shared" si="67"/>
        <v>1</v>
      </c>
      <c r="J388" s="3430"/>
      <c r="K388" s="3156">
        <f t="shared" si="68"/>
        <v>1</v>
      </c>
      <c r="L388" s="3430"/>
      <c r="M388" s="3156">
        <f t="shared" si="69"/>
        <v>1</v>
      </c>
      <c r="N388" s="3430"/>
      <c r="O388" s="3156">
        <f t="shared" si="70"/>
        <v>1</v>
      </c>
      <c r="P388" s="3430"/>
      <c r="Q388" s="3156">
        <f t="shared" si="71"/>
        <v>1</v>
      </c>
      <c r="R388" s="3921">
        <f t="shared" si="72"/>
        <v>0</v>
      </c>
      <c r="S388" s="4017">
        <f t="shared" si="73"/>
        <v>0</v>
      </c>
    </row>
    <row r="389" spans="1:19">
      <c r="A389" s="3157"/>
      <c r="B389" s="3428"/>
      <c r="C389" s="3156">
        <f t="shared" si="64"/>
        <v>1</v>
      </c>
      <c r="D389" s="3430"/>
      <c r="E389" s="3156">
        <f t="shared" si="65"/>
        <v>0</v>
      </c>
      <c r="F389" s="3430"/>
      <c r="G389" s="3156">
        <f t="shared" si="66"/>
        <v>1</v>
      </c>
      <c r="H389" s="3430"/>
      <c r="I389" s="3156">
        <f t="shared" si="67"/>
        <v>1</v>
      </c>
      <c r="J389" s="3430"/>
      <c r="K389" s="3156">
        <f t="shared" si="68"/>
        <v>1</v>
      </c>
      <c r="L389" s="3430"/>
      <c r="M389" s="3156">
        <f t="shared" si="69"/>
        <v>1</v>
      </c>
      <c r="N389" s="3430"/>
      <c r="O389" s="3156">
        <f t="shared" si="70"/>
        <v>1</v>
      </c>
      <c r="P389" s="3430"/>
      <c r="Q389" s="3156">
        <f t="shared" si="71"/>
        <v>1</v>
      </c>
      <c r="R389" s="3921">
        <f t="shared" si="72"/>
        <v>0</v>
      </c>
      <c r="S389" s="4017">
        <f t="shared" si="73"/>
        <v>0</v>
      </c>
    </row>
    <row r="390" spans="1:19">
      <c r="A390" s="3157"/>
      <c r="B390" s="3428"/>
      <c r="C390" s="3156">
        <f t="shared" si="64"/>
        <v>1</v>
      </c>
      <c r="D390" s="3430"/>
      <c r="E390" s="3156">
        <f t="shared" si="65"/>
        <v>0</v>
      </c>
      <c r="F390" s="3430"/>
      <c r="G390" s="3156">
        <f t="shared" si="66"/>
        <v>1</v>
      </c>
      <c r="H390" s="3430"/>
      <c r="I390" s="3156">
        <f t="shared" si="67"/>
        <v>1</v>
      </c>
      <c r="J390" s="3430"/>
      <c r="K390" s="3156">
        <f t="shared" si="68"/>
        <v>1</v>
      </c>
      <c r="L390" s="3430"/>
      <c r="M390" s="3156">
        <f t="shared" si="69"/>
        <v>1</v>
      </c>
      <c r="N390" s="3430"/>
      <c r="O390" s="3156">
        <f t="shared" si="70"/>
        <v>1</v>
      </c>
      <c r="P390" s="3430"/>
      <c r="Q390" s="3156">
        <f t="shared" si="71"/>
        <v>1</v>
      </c>
      <c r="R390" s="3921">
        <f t="shared" si="72"/>
        <v>0</v>
      </c>
      <c r="S390" s="4017">
        <f t="shared" si="73"/>
        <v>0</v>
      </c>
    </row>
    <row r="391" spans="1:19">
      <c r="A391" s="3157"/>
      <c r="B391" s="3428"/>
      <c r="C391" s="3156">
        <f t="shared" si="64"/>
        <v>1</v>
      </c>
      <c r="D391" s="3430"/>
      <c r="E391" s="3156">
        <f t="shared" si="65"/>
        <v>0</v>
      </c>
      <c r="F391" s="3430"/>
      <c r="G391" s="3156">
        <f t="shared" si="66"/>
        <v>1</v>
      </c>
      <c r="H391" s="3430"/>
      <c r="I391" s="3156">
        <f t="shared" si="67"/>
        <v>1</v>
      </c>
      <c r="J391" s="3430"/>
      <c r="K391" s="3156">
        <f t="shared" si="68"/>
        <v>1</v>
      </c>
      <c r="L391" s="3430"/>
      <c r="M391" s="3156">
        <f t="shared" si="69"/>
        <v>1</v>
      </c>
      <c r="N391" s="3430"/>
      <c r="O391" s="3156">
        <f t="shared" si="70"/>
        <v>1</v>
      </c>
      <c r="P391" s="3430"/>
      <c r="Q391" s="3156">
        <f t="shared" si="71"/>
        <v>1</v>
      </c>
      <c r="R391" s="3921">
        <f t="shared" si="72"/>
        <v>0</v>
      </c>
      <c r="S391" s="4017">
        <f t="shared" si="73"/>
        <v>0</v>
      </c>
    </row>
    <row r="392" spans="1:19">
      <c r="A392" s="3157"/>
      <c r="B392" s="3428"/>
      <c r="C392" s="3156">
        <f t="shared" si="64"/>
        <v>1</v>
      </c>
      <c r="D392" s="3430"/>
      <c r="E392" s="3156">
        <f t="shared" si="65"/>
        <v>0</v>
      </c>
      <c r="F392" s="3430"/>
      <c r="G392" s="3156">
        <f t="shared" si="66"/>
        <v>1</v>
      </c>
      <c r="H392" s="3430"/>
      <c r="I392" s="3156">
        <f t="shared" si="67"/>
        <v>1</v>
      </c>
      <c r="J392" s="3430"/>
      <c r="K392" s="3156">
        <f t="shared" si="68"/>
        <v>1</v>
      </c>
      <c r="L392" s="3430"/>
      <c r="M392" s="3156">
        <f t="shared" si="69"/>
        <v>1</v>
      </c>
      <c r="N392" s="3430"/>
      <c r="O392" s="3156">
        <f t="shared" si="70"/>
        <v>1</v>
      </c>
      <c r="P392" s="3430"/>
      <c r="Q392" s="3156">
        <f t="shared" si="71"/>
        <v>1</v>
      </c>
      <c r="R392" s="3921">
        <f t="shared" si="72"/>
        <v>0</v>
      </c>
      <c r="S392" s="4017">
        <f t="shared" si="73"/>
        <v>0</v>
      </c>
    </row>
    <row r="393" spans="1:19">
      <c r="A393" s="3157"/>
      <c r="B393" s="3428"/>
      <c r="C393" s="3156">
        <f t="shared" si="64"/>
        <v>1</v>
      </c>
      <c r="D393" s="3430"/>
      <c r="E393" s="3156">
        <f t="shared" si="65"/>
        <v>0</v>
      </c>
      <c r="F393" s="3430"/>
      <c r="G393" s="3156">
        <f t="shared" si="66"/>
        <v>1</v>
      </c>
      <c r="H393" s="3430"/>
      <c r="I393" s="3156">
        <f t="shared" si="67"/>
        <v>1</v>
      </c>
      <c r="J393" s="3430"/>
      <c r="K393" s="3156">
        <f t="shared" si="68"/>
        <v>1</v>
      </c>
      <c r="L393" s="3430"/>
      <c r="M393" s="3156">
        <f t="shared" si="69"/>
        <v>1</v>
      </c>
      <c r="N393" s="3430"/>
      <c r="O393" s="3156">
        <f t="shared" si="70"/>
        <v>1</v>
      </c>
      <c r="P393" s="3430"/>
      <c r="Q393" s="3156">
        <f t="shared" si="71"/>
        <v>1</v>
      </c>
      <c r="R393" s="3921">
        <f t="shared" si="72"/>
        <v>0</v>
      </c>
      <c r="S393" s="4017">
        <f t="shared" si="73"/>
        <v>0</v>
      </c>
    </row>
    <row r="394" spans="1:19">
      <c r="A394" s="3157"/>
      <c r="B394" s="3428"/>
      <c r="C394" s="3156">
        <f t="shared" si="64"/>
        <v>1</v>
      </c>
      <c r="D394" s="3430"/>
      <c r="E394" s="3156">
        <f t="shared" si="65"/>
        <v>0</v>
      </c>
      <c r="F394" s="3430"/>
      <c r="G394" s="3156">
        <f t="shared" si="66"/>
        <v>1</v>
      </c>
      <c r="H394" s="3430"/>
      <c r="I394" s="3156">
        <f t="shared" si="67"/>
        <v>1</v>
      </c>
      <c r="J394" s="3430"/>
      <c r="K394" s="3156">
        <f t="shared" si="68"/>
        <v>1</v>
      </c>
      <c r="L394" s="3430"/>
      <c r="M394" s="3156">
        <f t="shared" si="69"/>
        <v>1</v>
      </c>
      <c r="N394" s="3430"/>
      <c r="O394" s="3156">
        <f t="shared" si="70"/>
        <v>1</v>
      </c>
      <c r="P394" s="3430"/>
      <c r="Q394" s="3156">
        <f t="shared" si="71"/>
        <v>1</v>
      </c>
      <c r="R394" s="3921">
        <f t="shared" si="72"/>
        <v>0</v>
      </c>
      <c r="S394" s="4017">
        <f t="shared" si="73"/>
        <v>0</v>
      </c>
    </row>
    <row r="395" spans="1:19">
      <c r="A395" s="3157"/>
      <c r="B395" s="3428"/>
      <c r="C395" s="3156">
        <f t="shared" si="64"/>
        <v>1</v>
      </c>
      <c r="D395" s="3430"/>
      <c r="E395" s="3156">
        <f t="shared" si="65"/>
        <v>0</v>
      </c>
      <c r="F395" s="3430"/>
      <c r="G395" s="3156">
        <f t="shared" si="66"/>
        <v>1</v>
      </c>
      <c r="H395" s="3430"/>
      <c r="I395" s="3156">
        <f t="shared" si="67"/>
        <v>1</v>
      </c>
      <c r="J395" s="3430"/>
      <c r="K395" s="3156">
        <f t="shared" si="68"/>
        <v>1</v>
      </c>
      <c r="L395" s="3430"/>
      <c r="M395" s="3156">
        <f t="shared" si="69"/>
        <v>1</v>
      </c>
      <c r="N395" s="3430"/>
      <c r="O395" s="3156">
        <f t="shared" si="70"/>
        <v>1</v>
      </c>
      <c r="P395" s="3430"/>
      <c r="Q395" s="3156">
        <f t="shared" si="71"/>
        <v>1</v>
      </c>
      <c r="R395" s="3921">
        <f t="shared" si="72"/>
        <v>0</v>
      </c>
      <c r="S395" s="4017">
        <f t="shared" si="73"/>
        <v>0</v>
      </c>
    </row>
    <row r="396" spans="1:19">
      <c r="A396" s="3157"/>
      <c r="B396" s="3428"/>
      <c r="C396" s="3156">
        <f t="shared" si="64"/>
        <v>1</v>
      </c>
      <c r="D396" s="3430"/>
      <c r="E396" s="3156">
        <f t="shared" si="65"/>
        <v>0</v>
      </c>
      <c r="F396" s="3430"/>
      <c r="G396" s="3156">
        <f t="shared" si="66"/>
        <v>1</v>
      </c>
      <c r="H396" s="3430"/>
      <c r="I396" s="3156">
        <f t="shared" si="67"/>
        <v>1</v>
      </c>
      <c r="J396" s="3430"/>
      <c r="K396" s="3156">
        <f t="shared" si="68"/>
        <v>1</v>
      </c>
      <c r="L396" s="3430"/>
      <c r="M396" s="3156">
        <f t="shared" si="69"/>
        <v>1</v>
      </c>
      <c r="N396" s="3430"/>
      <c r="O396" s="3156">
        <f t="shared" si="70"/>
        <v>1</v>
      </c>
      <c r="P396" s="3430"/>
      <c r="Q396" s="3156">
        <f t="shared" si="71"/>
        <v>1</v>
      </c>
      <c r="R396" s="3921">
        <f t="shared" si="72"/>
        <v>0</v>
      </c>
      <c r="S396" s="4017">
        <f t="shared" si="73"/>
        <v>0</v>
      </c>
    </row>
    <row r="397" spans="1:19">
      <c r="A397" s="3157"/>
      <c r="B397" s="3428"/>
      <c r="C397" s="3156">
        <f t="shared" si="64"/>
        <v>1</v>
      </c>
      <c r="D397" s="3430"/>
      <c r="E397" s="3156">
        <f t="shared" si="65"/>
        <v>0</v>
      </c>
      <c r="F397" s="3430"/>
      <c r="G397" s="3156">
        <f t="shared" si="66"/>
        <v>1</v>
      </c>
      <c r="H397" s="3430"/>
      <c r="I397" s="3156">
        <f t="shared" si="67"/>
        <v>1</v>
      </c>
      <c r="J397" s="3430"/>
      <c r="K397" s="3156">
        <f t="shared" si="68"/>
        <v>1</v>
      </c>
      <c r="L397" s="3430"/>
      <c r="M397" s="3156">
        <f t="shared" si="69"/>
        <v>1</v>
      </c>
      <c r="N397" s="3430"/>
      <c r="O397" s="3156">
        <f t="shared" si="70"/>
        <v>1</v>
      </c>
      <c r="P397" s="3430"/>
      <c r="Q397" s="3156">
        <f t="shared" si="71"/>
        <v>1</v>
      </c>
      <c r="R397" s="3921">
        <f t="shared" si="72"/>
        <v>0</v>
      </c>
      <c r="S397" s="4017">
        <f t="shared" si="73"/>
        <v>0</v>
      </c>
    </row>
    <row r="398" spans="1:19">
      <c r="A398" s="3157"/>
      <c r="B398" s="3428"/>
      <c r="C398" s="3156">
        <f t="shared" si="64"/>
        <v>1</v>
      </c>
      <c r="D398" s="3430"/>
      <c r="E398" s="3156">
        <f t="shared" si="65"/>
        <v>0</v>
      </c>
      <c r="F398" s="3430"/>
      <c r="G398" s="3156">
        <f t="shared" si="66"/>
        <v>1</v>
      </c>
      <c r="H398" s="3430"/>
      <c r="I398" s="3156">
        <f t="shared" si="67"/>
        <v>1</v>
      </c>
      <c r="J398" s="3430"/>
      <c r="K398" s="3156">
        <f t="shared" si="68"/>
        <v>1</v>
      </c>
      <c r="L398" s="3430"/>
      <c r="M398" s="3156">
        <f t="shared" si="69"/>
        <v>1</v>
      </c>
      <c r="N398" s="3430"/>
      <c r="O398" s="3156">
        <f t="shared" si="70"/>
        <v>1</v>
      </c>
      <c r="P398" s="3430"/>
      <c r="Q398" s="3156">
        <f t="shared" si="71"/>
        <v>1</v>
      </c>
      <c r="R398" s="3921">
        <f t="shared" si="72"/>
        <v>0</v>
      </c>
      <c r="S398" s="4017">
        <f t="shared" si="73"/>
        <v>0</v>
      </c>
    </row>
    <row r="399" spans="1:19">
      <c r="A399" s="3157"/>
      <c r="B399" s="3428"/>
      <c r="C399" s="3156">
        <f t="shared" si="64"/>
        <v>1</v>
      </c>
      <c r="D399" s="3430"/>
      <c r="E399" s="3156">
        <f t="shared" si="65"/>
        <v>0</v>
      </c>
      <c r="F399" s="3430"/>
      <c r="G399" s="3156">
        <f t="shared" si="66"/>
        <v>1</v>
      </c>
      <c r="H399" s="3430"/>
      <c r="I399" s="3156">
        <f t="shared" si="67"/>
        <v>1</v>
      </c>
      <c r="J399" s="3430"/>
      <c r="K399" s="3156">
        <f t="shared" si="68"/>
        <v>1</v>
      </c>
      <c r="L399" s="3430"/>
      <c r="M399" s="3156">
        <f t="shared" si="69"/>
        <v>1</v>
      </c>
      <c r="N399" s="3430"/>
      <c r="O399" s="3156">
        <f t="shared" si="70"/>
        <v>1</v>
      </c>
      <c r="P399" s="3430"/>
      <c r="Q399" s="3156">
        <f t="shared" si="71"/>
        <v>1</v>
      </c>
      <c r="R399" s="3921">
        <f t="shared" si="72"/>
        <v>0</v>
      </c>
      <c r="S399" s="4017">
        <f t="shared" si="73"/>
        <v>0</v>
      </c>
    </row>
    <row r="400" spans="1:19">
      <c r="A400" s="3157"/>
      <c r="B400" s="3428"/>
      <c r="C400" s="3156">
        <f t="shared" si="64"/>
        <v>1</v>
      </c>
      <c r="D400" s="3430"/>
      <c r="E400" s="3156">
        <f t="shared" si="65"/>
        <v>0</v>
      </c>
      <c r="F400" s="3430"/>
      <c r="G400" s="3156">
        <f t="shared" si="66"/>
        <v>1</v>
      </c>
      <c r="H400" s="3430"/>
      <c r="I400" s="3156">
        <f t="shared" si="67"/>
        <v>1</v>
      </c>
      <c r="J400" s="3430"/>
      <c r="K400" s="3156">
        <f t="shared" si="68"/>
        <v>1</v>
      </c>
      <c r="L400" s="3430"/>
      <c r="M400" s="3156">
        <f t="shared" si="69"/>
        <v>1</v>
      </c>
      <c r="N400" s="3430"/>
      <c r="O400" s="3156">
        <f t="shared" si="70"/>
        <v>1</v>
      </c>
      <c r="P400" s="3430"/>
      <c r="Q400" s="3156">
        <f t="shared" si="71"/>
        <v>1</v>
      </c>
      <c r="R400" s="3921">
        <f t="shared" si="72"/>
        <v>0</v>
      </c>
      <c r="S400" s="4017">
        <f t="shared" si="73"/>
        <v>0</v>
      </c>
    </row>
    <row r="401" spans="1:19">
      <c r="A401" s="3157"/>
      <c r="B401" s="3428"/>
      <c r="C401" s="3156">
        <f t="shared" si="64"/>
        <v>1</v>
      </c>
      <c r="D401" s="3430"/>
      <c r="E401" s="3156">
        <f t="shared" si="65"/>
        <v>0</v>
      </c>
      <c r="F401" s="3430"/>
      <c r="G401" s="3156">
        <f t="shared" si="66"/>
        <v>1</v>
      </c>
      <c r="H401" s="3430"/>
      <c r="I401" s="3156">
        <f t="shared" si="67"/>
        <v>1</v>
      </c>
      <c r="J401" s="3430"/>
      <c r="K401" s="3156">
        <f t="shared" si="68"/>
        <v>1</v>
      </c>
      <c r="L401" s="3430"/>
      <c r="M401" s="3156">
        <f t="shared" si="69"/>
        <v>1</v>
      </c>
      <c r="N401" s="3430"/>
      <c r="O401" s="3156">
        <f t="shared" si="70"/>
        <v>1</v>
      </c>
      <c r="P401" s="3430"/>
      <c r="Q401" s="3156">
        <f t="shared" si="71"/>
        <v>1</v>
      </c>
      <c r="R401" s="3921">
        <f t="shared" si="72"/>
        <v>0</v>
      </c>
      <c r="S401" s="4017">
        <f t="shared" si="73"/>
        <v>0</v>
      </c>
    </row>
    <row r="402" spans="1:19">
      <c r="A402" s="3157"/>
      <c r="B402" s="3428"/>
      <c r="C402" s="3156">
        <f t="shared" si="64"/>
        <v>1</v>
      </c>
      <c r="D402" s="3430"/>
      <c r="E402" s="3156">
        <f t="shared" si="65"/>
        <v>0</v>
      </c>
      <c r="F402" s="3430"/>
      <c r="G402" s="3156">
        <f t="shared" si="66"/>
        <v>1</v>
      </c>
      <c r="H402" s="3430"/>
      <c r="I402" s="3156">
        <f t="shared" si="67"/>
        <v>1</v>
      </c>
      <c r="J402" s="3430"/>
      <c r="K402" s="3156">
        <f t="shared" si="68"/>
        <v>1</v>
      </c>
      <c r="L402" s="3430"/>
      <c r="M402" s="3156">
        <f t="shared" si="69"/>
        <v>1</v>
      </c>
      <c r="N402" s="3430"/>
      <c r="O402" s="3156">
        <f t="shared" si="70"/>
        <v>1</v>
      </c>
      <c r="P402" s="3430"/>
      <c r="Q402" s="3156">
        <f t="shared" si="71"/>
        <v>1</v>
      </c>
      <c r="R402" s="3921">
        <f t="shared" si="72"/>
        <v>0</v>
      </c>
      <c r="S402" s="4017">
        <f t="shared" si="73"/>
        <v>0</v>
      </c>
    </row>
    <row r="403" spans="1:19">
      <c r="A403" s="3157"/>
      <c r="B403" s="3428"/>
      <c r="C403" s="3156">
        <f t="shared" si="64"/>
        <v>1</v>
      </c>
      <c r="D403" s="3430"/>
      <c r="E403" s="3156">
        <f t="shared" si="65"/>
        <v>0</v>
      </c>
      <c r="F403" s="3430"/>
      <c r="G403" s="3156">
        <f t="shared" si="66"/>
        <v>1</v>
      </c>
      <c r="H403" s="3430"/>
      <c r="I403" s="3156">
        <f t="shared" si="67"/>
        <v>1</v>
      </c>
      <c r="J403" s="3430"/>
      <c r="K403" s="3156">
        <f t="shared" si="68"/>
        <v>1</v>
      </c>
      <c r="L403" s="3430"/>
      <c r="M403" s="3156">
        <f t="shared" si="69"/>
        <v>1</v>
      </c>
      <c r="N403" s="3430"/>
      <c r="O403" s="3156">
        <f t="shared" si="70"/>
        <v>1</v>
      </c>
      <c r="P403" s="3430"/>
      <c r="Q403" s="3156">
        <f t="shared" si="71"/>
        <v>1</v>
      </c>
      <c r="R403" s="3921">
        <f t="shared" si="72"/>
        <v>0</v>
      </c>
      <c r="S403" s="4017">
        <f t="shared" si="73"/>
        <v>0</v>
      </c>
    </row>
    <row r="404" spans="1:19">
      <c r="A404" s="3157"/>
      <c r="B404" s="3428"/>
      <c r="C404" s="3156">
        <f t="shared" si="64"/>
        <v>1</v>
      </c>
      <c r="D404" s="3430"/>
      <c r="E404" s="3156">
        <f t="shared" si="65"/>
        <v>0</v>
      </c>
      <c r="F404" s="3430"/>
      <c r="G404" s="3156">
        <f t="shared" si="66"/>
        <v>1</v>
      </c>
      <c r="H404" s="3430"/>
      <c r="I404" s="3156">
        <f t="shared" si="67"/>
        <v>1</v>
      </c>
      <c r="J404" s="3430"/>
      <c r="K404" s="3156">
        <f t="shared" si="68"/>
        <v>1</v>
      </c>
      <c r="L404" s="3430"/>
      <c r="M404" s="3156">
        <f t="shared" si="69"/>
        <v>1</v>
      </c>
      <c r="N404" s="3430"/>
      <c r="O404" s="3156">
        <f t="shared" si="70"/>
        <v>1</v>
      </c>
      <c r="P404" s="3430"/>
      <c r="Q404" s="3156">
        <f t="shared" si="71"/>
        <v>1</v>
      </c>
      <c r="R404" s="3921">
        <f t="shared" si="72"/>
        <v>0</v>
      </c>
      <c r="S404" s="4017">
        <f t="shared" si="73"/>
        <v>0</v>
      </c>
    </row>
    <row r="405" spans="1:19">
      <c r="A405" s="3157"/>
      <c r="B405" s="3428"/>
      <c r="C405" s="3156">
        <f t="shared" si="64"/>
        <v>1</v>
      </c>
      <c r="D405" s="3430"/>
      <c r="E405" s="3156">
        <f t="shared" si="65"/>
        <v>0</v>
      </c>
      <c r="F405" s="3430"/>
      <c r="G405" s="3156">
        <f t="shared" si="66"/>
        <v>1</v>
      </c>
      <c r="H405" s="3430"/>
      <c r="I405" s="3156">
        <f t="shared" si="67"/>
        <v>1</v>
      </c>
      <c r="J405" s="3430"/>
      <c r="K405" s="3156">
        <f t="shared" si="68"/>
        <v>1</v>
      </c>
      <c r="L405" s="3430"/>
      <c r="M405" s="3156">
        <f t="shared" si="69"/>
        <v>1</v>
      </c>
      <c r="N405" s="3430"/>
      <c r="O405" s="3156">
        <f t="shared" si="70"/>
        <v>1</v>
      </c>
      <c r="P405" s="3430"/>
      <c r="Q405" s="3156">
        <f t="shared" si="71"/>
        <v>1</v>
      </c>
      <c r="R405" s="3921">
        <f t="shared" si="72"/>
        <v>0</v>
      </c>
      <c r="S405" s="4017">
        <f t="shared" si="73"/>
        <v>0</v>
      </c>
    </row>
    <row r="406" spans="1:19">
      <c r="A406" s="3157"/>
      <c r="B406" s="3428"/>
      <c r="C406" s="3156">
        <f t="shared" si="64"/>
        <v>1</v>
      </c>
      <c r="D406" s="3430"/>
      <c r="E406" s="3156">
        <f t="shared" si="65"/>
        <v>0</v>
      </c>
      <c r="F406" s="3430"/>
      <c r="G406" s="3156">
        <f t="shared" si="66"/>
        <v>1</v>
      </c>
      <c r="H406" s="3430"/>
      <c r="I406" s="3156">
        <f t="shared" si="67"/>
        <v>1</v>
      </c>
      <c r="J406" s="3430"/>
      <c r="K406" s="3156">
        <f t="shared" si="68"/>
        <v>1</v>
      </c>
      <c r="L406" s="3430"/>
      <c r="M406" s="3156">
        <f t="shared" si="69"/>
        <v>1</v>
      </c>
      <c r="N406" s="3430"/>
      <c r="O406" s="3156">
        <f t="shared" si="70"/>
        <v>1</v>
      </c>
      <c r="P406" s="3430"/>
      <c r="Q406" s="3156">
        <f t="shared" si="71"/>
        <v>1</v>
      </c>
      <c r="R406" s="3921">
        <f t="shared" si="72"/>
        <v>0</v>
      </c>
      <c r="S406" s="4017">
        <f t="shared" si="73"/>
        <v>0</v>
      </c>
    </row>
    <row r="407" spans="1:19">
      <c r="A407" s="3157"/>
      <c r="B407" s="3428"/>
      <c r="C407" s="3156">
        <f t="shared" si="64"/>
        <v>1</v>
      </c>
      <c r="D407" s="3430"/>
      <c r="E407" s="3156">
        <f t="shared" si="65"/>
        <v>0</v>
      </c>
      <c r="F407" s="3430"/>
      <c r="G407" s="3156">
        <f t="shared" si="66"/>
        <v>1</v>
      </c>
      <c r="H407" s="3430"/>
      <c r="I407" s="3156">
        <f t="shared" si="67"/>
        <v>1</v>
      </c>
      <c r="J407" s="3430"/>
      <c r="K407" s="3156">
        <f t="shared" si="68"/>
        <v>1</v>
      </c>
      <c r="L407" s="3430"/>
      <c r="M407" s="3156">
        <f t="shared" si="69"/>
        <v>1</v>
      </c>
      <c r="N407" s="3430"/>
      <c r="O407" s="3156">
        <f t="shared" si="70"/>
        <v>1</v>
      </c>
      <c r="P407" s="3430"/>
      <c r="Q407" s="3156">
        <f t="shared" si="71"/>
        <v>1</v>
      </c>
      <c r="R407" s="3921">
        <f t="shared" si="72"/>
        <v>0</v>
      </c>
      <c r="S407" s="4017">
        <f t="shared" si="73"/>
        <v>0</v>
      </c>
    </row>
    <row r="408" spans="1:19">
      <c r="A408" s="3157"/>
      <c r="B408" s="3428"/>
      <c r="C408" s="3156">
        <f t="shared" si="64"/>
        <v>1</v>
      </c>
      <c r="D408" s="3430"/>
      <c r="E408" s="3156">
        <f t="shared" si="65"/>
        <v>0</v>
      </c>
      <c r="F408" s="3430"/>
      <c r="G408" s="3156">
        <f t="shared" si="66"/>
        <v>1</v>
      </c>
      <c r="H408" s="3430"/>
      <c r="I408" s="3156">
        <f t="shared" si="67"/>
        <v>1</v>
      </c>
      <c r="J408" s="3430"/>
      <c r="K408" s="3156">
        <f t="shared" si="68"/>
        <v>1</v>
      </c>
      <c r="L408" s="3430"/>
      <c r="M408" s="3156">
        <f t="shared" si="69"/>
        <v>1</v>
      </c>
      <c r="N408" s="3430"/>
      <c r="O408" s="3156">
        <f t="shared" si="70"/>
        <v>1</v>
      </c>
      <c r="P408" s="3430"/>
      <c r="Q408" s="3156">
        <f t="shared" si="71"/>
        <v>1</v>
      </c>
      <c r="R408" s="3921">
        <f t="shared" si="72"/>
        <v>0</v>
      </c>
      <c r="S408" s="4017">
        <f t="shared" si="73"/>
        <v>0</v>
      </c>
    </row>
    <row r="409" spans="1:19">
      <c r="A409" s="3157"/>
      <c r="B409" s="3428"/>
      <c r="C409" s="3156">
        <f t="shared" si="64"/>
        <v>1</v>
      </c>
      <c r="D409" s="3430"/>
      <c r="E409" s="3156">
        <f t="shared" si="65"/>
        <v>0</v>
      </c>
      <c r="F409" s="3430"/>
      <c r="G409" s="3156">
        <f t="shared" si="66"/>
        <v>1</v>
      </c>
      <c r="H409" s="3430"/>
      <c r="I409" s="3156">
        <f t="shared" si="67"/>
        <v>1</v>
      </c>
      <c r="J409" s="3430"/>
      <c r="K409" s="3156">
        <f t="shared" si="68"/>
        <v>1</v>
      </c>
      <c r="L409" s="3430"/>
      <c r="M409" s="3156">
        <f t="shared" si="69"/>
        <v>1</v>
      </c>
      <c r="N409" s="3430"/>
      <c r="O409" s="3156">
        <f t="shared" si="70"/>
        <v>1</v>
      </c>
      <c r="P409" s="3430"/>
      <c r="Q409" s="3156">
        <f t="shared" si="71"/>
        <v>1</v>
      </c>
      <c r="R409" s="3921">
        <f t="shared" si="72"/>
        <v>0</v>
      </c>
      <c r="S409" s="4017">
        <f t="shared" si="73"/>
        <v>0</v>
      </c>
    </row>
    <row r="410" spans="1:19">
      <c r="A410" s="3157"/>
      <c r="B410" s="3428"/>
      <c r="C410" s="3156">
        <f t="shared" ref="C410:C473" si="74">IF(B410="",1,(LOOKUP(B410,$3:$3,$4:$4)-LOOKUP($B$24,$3:$3,$4:$4)+100)/100)</f>
        <v>1</v>
      </c>
      <c r="D410" s="3430"/>
      <c r="E410" s="3156">
        <f t="shared" ref="E410:E473" si="75">(SUMIF($5:$5,D410,$6:$6)-SUMIF($5:$5,$D$24,$6:$6)+100)/100</f>
        <v>0</v>
      </c>
      <c r="F410" s="3430"/>
      <c r="G410" s="3156">
        <f t="shared" ref="G410:G473" si="76">(SUMIF($7:$7,F410,$8:$8)-SUMIF($7:$7,$F$24,$8:$8)+100)/100</f>
        <v>1</v>
      </c>
      <c r="H410" s="3430"/>
      <c r="I410" s="3156">
        <f t="shared" ref="I410:I473" si="77">(SUMIF($9:$9,H410,$10:$10)-SUMIF($9:$9,$H$24,$10:$10)+100)/100</f>
        <v>1</v>
      </c>
      <c r="J410" s="3430"/>
      <c r="K410" s="3156">
        <f t="shared" ref="K410:K473" si="78">(SUMIF($11:$11,J410,$12:$12)-SUMIF($11:$11,$J$24,$12:$12)+100)/100</f>
        <v>1</v>
      </c>
      <c r="L410" s="3430"/>
      <c r="M410" s="3156">
        <f t="shared" ref="M410:M473" si="79">(SUMIF($13:$13,L410,$14:$14)-SUMIF($13:$13,$L$24,$14:$14)+100)/100</f>
        <v>1</v>
      </c>
      <c r="N410" s="3430"/>
      <c r="O410" s="3156">
        <f t="shared" ref="O410:O473" si="80">(SUMIF($15:$15,N410,$16:$16)-SUMIF($15:$15,$N$24,$16:$16)+100)/100</f>
        <v>1</v>
      </c>
      <c r="P410" s="3430"/>
      <c r="Q410" s="3156">
        <f t="shared" ref="Q410:Q473" si="81">(SUMIF($17:$17,P410,$18:$18)-SUMIF($17:$17,$P$24,$18:$18)+100)/100</f>
        <v>1</v>
      </c>
      <c r="R410" s="3921">
        <f t="shared" ref="R410:R473" si="82">IF(B410="",0,ROUND($R$24*C410*E410*G410*I410*K410*M410*O410*Q410,0))</f>
        <v>0</v>
      </c>
      <c r="S410" s="4017">
        <f t="shared" si="73"/>
        <v>0</v>
      </c>
    </row>
    <row r="411" spans="1:19">
      <c r="A411" s="3157"/>
      <c r="B411" s="3428"/>
      <c r="C411" s="3156">
        <f t="shared" si="74"/>
        <v>1</v>
      </c>
      <c r="D411" s="3430"/>
      <c r="E411" s="3156">
        <f t="shared" si="75"/>
        <v>0</v>
      </c>
      <c r="F411" s="3430"/>
      <c r="G411" s="3156">
        <f t="shared" si="76"/>
        <v>1</v>
      </c>
      <c r="H411" s="3430"/>
      <c r="I411" s="3156">
        <f t="shared" si="77"/>
        <v>1</v>
      </c>
      <c r="J411" s="3430"/>
      <c r="K411" s="3156">
        <f t="shared" si="78"/>
        <v>1</v>
      </c>
      <c r="L411" s="3430"/>
      <c r="M411" s="3156">
        <f t="shared" si="79"/>
        <v>1</v>
      </c>
      <c r="N411" s="3430"/>
      <c r="O411" s="3156">
        <f t="shared" si="80"/>
        <v>1</v>
      </c>
      <c r="P411" s="3430"/>
      <c r="Q411" s="3156">
        <f t="shared" si="81"/>
        <v>1</v>
      </c>
      <c r="R411" s="3921">
        <f t="shared" si="82"/>
        <v>0</v>
      </c>
      <c r="S411" s="4017">
        <f t="shared" si="73"/>
        <v>0</v>
      </c>
    </row>
    <row r="412" spans="1:19">
      <c r="A412" s="3157"/>
      <c r="B412" s="3428"/>
      <c r="C412" s="3156">
        <f t="shared" si="74"/>
        <v>1</v>
      </c>
      <c r="D412" s="3430"/>
      <c r="E412" s="3156">
        <f t="shared" si="75"/>
        <v>0</v>
      </c>
      <c r="F412" s="3430"/>
      <c r="G412" s="3156">
        <f t="shared" si="76"/>
        <v>1</v>
      </c>
      <c r="H412" s="3430"/>
      <c r="I412" s="3156">
        <f t="shared" si="77"/>
        <v>1</v>
      </c>
      <c r="J412" s="3430"/>
      <c r="K412" s="3156">
        <f t="shared" si="78"/>
        <v>1</v>
      </c>
      <c r="L412" s="3430"/>
      <c r="M412" s="3156">
        <f t="shared" si="79"/>
        <v>1</v>
      </c>
      <c r="N412" s="3430"/>
      <c r="O412" s="3156">
        <f t="shared" si="80"/>
        <v>1</v>
      </c>
      <c r="P412" s="3430"/>
      <c r="Q412" s="3156">
        <f t="shared" si="81"/>
        <v>1</v>
      </c>
      <c r="R412" s="3921">
        <f t="shared" si="82"/>
        <v>0</v>
      </c>
      <c r="S412" s="4017">
        <f t="shared" si="73"/>
        <v>0</v>
      </c>
    </row>
    <row r="413" spans="1:19">
      <c r="A413" s="3157"/>
      <c r="B413" s="3428"/>
      <c r="C413" s="3156">
        <f t="shared" si="74"/>
        <v>1</v>
      </c>
      <c r="D413" s="3430"/>
      <c r="E413" s="3156">
        <f t="shared" si="75"/>
        <v>0</v>
      </c>
      <c r="F413" s="3430"/>
      <c r="G413" s="3156">
        <f t="shared" si="76"/>
        <v>1</v>
      </c>
      <c r="H413" s="3430"/>
      <c r="I413" s="3156">
        <f t="shared" si="77"/>
        <v>1</v>
      </c>
      <c r="J413" s="3430"/>
      <c r="K413" s="3156">
        <f t="shared" si="78"/>
        <v>1</v>
      </c>
      <c r="L413" s="3430"/>
      <c r="M413" s="3156">
        <f t="shared" si="79"/>
        <v>1</v>
      </c>
      <c r="N413" s="3430"/>
      <c r="O413" s="3156">
        <f t="shared" si="80"/>
        <v>1</v>
      </c>
      <c r="P413" s="3430"/>
      <c r="Q413" s="3156">
        <f t="shared" si="81"/>
        <v>1</v>
      </c>
      <c r="R413" s="3921">
        <f t="shared" si="82"/>
        <v>0</v>
      </c>
      <c r="S413" s="4017">
        <f t="shared" si="73"/>
        <v>0</v>
      </c>
    </row>
    <row r="414" spans="1:19">
      <c r="A414" s="3157"/>
      <c r="B414" s="3428"/>
      <c r="C414" s="3156">
        <f t="shared" si="74"/>
        <v>1</v>
      </c>
      <c r="D414" s="3430"/>
      <c r="E414" s="3156">
        <f t="shared" si="75"/>
        <v>0</v>
      </c>
      <c r="F414" s="3430"/>
      <c r="G414" s="3156">
        <f t="shared" si="76"/>
        <v>1</v>
      </c>
      <c r="H414" s="3430"/>
      <c r="I414" s="3156">
        <f t="shared" si="77"/>
        <v>1</v>
      </c>
      <c r="J414" s="3430"/>
      <c r="K414" s="3156">
        <f t="shared" si="78"/>
        <v>1</v>
      </c>
      <c r="L414" s="3430"/>
      <c r="M414" s="3156">
        <f t="shared" si="79"/>
        <v>1</v>
      </c>
      <c r="N414" s="3430"/>
      <c r="O414" s="3156">
        <f t="shared" si="80"/>
        <v>1</v>
      </c>
      <c r="P414" s="3430"/>
      <c r="Q414" s="3156">
        <f t="shared" si="81"/>
        <v>1</v>
      </c>
      <c r="R414" s="3921">
        <f t="shared" si="82"/>
        <v>0</v>
      </c>
      <c r="S414" s="4017">
        <f t="shared" si="73"/>
        <v>0</v>
      </c>
    </row>
    <row r="415" spans="1:19">
      <c r="A415" s="3157"/>
      <c r="B415" s="3428"/>
      <c r="C415" s="3156">
        <f t="shared" si="74"/>
        <v>1</v>
      </c>
      <c r="D415" s="3430"/>
      <c r="E415" s="3156">
        <f t="shared" si="75"/>
        <v>0</v>
      </c>
      <c r="F415" s="3430"/>
      <c r="G415" s="3156">
        <f t="shared" si="76"/>
        <v>1</v>
      </c>
      <c r="H415" s="3430"/>
      <c r="I415" s="3156">
        <f t="shared" si="77"/>
        <v>1</v>
      </c>
      <c r="J415" s="3430"/>
      <c r="K415" s="3156">
        <f t="shared" si="78"/>
        <v>1</v>
      </c>
      <c r="L415" s="3430"/>
      <c r="M415" s="3156">
        <f t="shared" si="79"/>
        <v>1</v>
      </c>
      <c r="N415" s="3430"/>
      <c r="O415" s="3156">
        <f t="shared" si="80"/>
        <v>1</v>
      </c>
      <c r="P415" s="3430"/>
      <c r="Q415" s="3156">
        <f t="shared" si="81"/>
        <v>1</v>
      </c>
      <c r="R415" s="3921">
        <f t="shared" si="82"/>
        <v>0</v>
      </c>
      <c r="S415" s="4017">
        <f t="shared" si="73"/>
        <v>0</v>
      </c>
    </row>
    <row r="416" spans="1:19">
      <c r="A416" s="3157"/>
      <c r="B416" s="3428"/>
      <c r="C416" s="3156">
        <f t="shared" si="74"/>
        <v>1</v>
      </c>
      <c r="D416" s="3430"/>
      <c r="E416" s="3156">
        <f t="shared" si="75"/>
        <v>0</v>
      </c>
      <c r="F416" s="3430"/>
      <c r="G416" s="3156">
        <f t="shared" si="76"/>
        <v>1</v>
      </c>
      <c r="H416" s="3430"/>
      <c r="I416" s="3156">
        <f t="shared" si="77"/>
        <v>1</v>
      </c>
      <c r="J416" s="3430"/>
      <c r="K416" s="3156">
        <f t="shared" si="78"/>
        <v>1</v>
      </c>
      <c r="L416" s="3430"/>
      <c r="M416" s="3156">
        <f t="shared" si="79"/>
        <v>1</v>
      </c>
      <c r="N416" s="3430"/>
      <c r="O416" s="3156">
        <f t="shared" si="80"/>
        <v>1</v>
      </c>
      <c r="P416" s="3430"/>
      <c r="Q416" s="3156">
        <f t="shared" si="81"/>
        <v>1</v>
      </c>
      <c r="R416" s="3921">
        <f t="shared" si="82"/>
        <v>0</v>
      </c>
      <c r="S416" s="4017">
        <f t="shared" si="73"/>
        <v>0</v>
      </c>
    </row>
    <row r="417" spans="1:19">
      <c r="A417" s="3157"/>
      <c r="B417" s="3428"/>
      <c r="C417" s="3156">
        <f t="shared" si="74"/>
        <v>1</v>
      </c>
      <c r="D417" s="3430"/>
      <c r="E417" s="3156">
        <f t="shared" si="75"/>
        <v>0</v>
      </c>
      <c r="F417" s="3430"/>
      <c r="G417" s="3156">
        <f t="shared" si="76"/>
        <v>1</v>
      </c>
      <c r="H417" s="3430"/>
      <c r="I417" s="3156">
        <f t="shared" si="77"/>
        <v>1</v>
      </c>
      <c r="J417" s="3430"/>
      <c r="K417" s="3156">
        <f t="shared" si="78"/>
        <v>1</v>
      </c>
      <c r="L417" s="3430"/>
      <c r="M417" s="3156">
        <f t="shared" si="79"/>
        <v>1</v>
      </c>
      <c r="N417" s="3430"/>
      <c r="O417" s="3156">
        <f t="shared" si="80"/>
        <v>1</v>
      </c>
      <c r="P417" s="3430"/>
      <c r="Q417" s="3156">
        <f t="shared" si="81"/>
        <v>1</v>
      </c>
      <c r="R417" s="3921">
        <f t="shared" si="82"/>
        <v>0</v>
      </c>
      <c r="S417" s="4017">
        <f t="shared" si="73"/>
        <v>0</v>
      </c>
    </row>
    <row r="418" spans="1:19">
      <c r="A418" s="3157"/>
      <c r="B418" s="3428"/>
      <c r="C418" s="3156">
        <f t="shared" si="74"/>
        <v>1</v>
      </c>
      <c r="D418" s="3430"/>
      <c r="E418" s="3156">
        <f t="shared" si="75"/>
        <v>0</v>
      </c>
      <c r="F418" s="3430"/>
      <c r="G418" s="3156">
        <f t="shared" si="76"/>
        <v>1</v>
      </c>
      <c r="H418" s="3430"/>
      <c r="I418" s="3156">
        <f t="shared" si="77"/>
        <v>1</v>
      </c>
      <c r="J418" s="3430"/>
      <c r="K418" s="3156">
        <f t="shared" si="78"/>
        <v>1</v>
      </c>
      <c r="L418" s="3430"/>
      <c r="M418" s="3156">
        <f t="shared" si="79"/>
        <v>1</v>
      </c>
      <c r="N418" s="3430"/>
      <c r="O418" s="3156">
        <f t="shared" si="80"/>
        <v>1</v>
      </c>
      <c r="P418" s="3430"/>
      <c r="Q418" s="3156">
        <f t="shared" si="81"/>
        <v>1</v>
      </c>
      <c r="R418" s="3921">
        <f t="shared" si="82"/>
        <v>0</v>
      </c>
      <c r="S418" s="4017">
        <f t="shared" si="73"/>
        <v>0</v>
      </c>
    </row>
    <row r="419" spans="1:19">
      <c r="A419" s="3157"/>
      <c r="B419" s="3428"/>
      <c r="C419" s="3156">
        <f t="shared" si="74"/>
        <v>1</v>
      </c>
      <c r="D419" s="3430"/>
      <c r="E419" s="3156">
        <f t="shared" si="75"/>
        <v>0</v>
      </c>
      <c r="F419" s="3430"/>
      <c r="G419" s="3156">
        <f t="shared" si="76"/>
        <v>1</v>
      </c>
      <c r="H419" s="3430"/>
      <c r="I419" s="3156">
        <f t="shared" si="77"/>
        <v>1</v>
      </c>
      <c r="J419" s="3430"/>
      <c r="K419" s="3156">
        <f t="shared" si="78"/>
        <v>1</v>
      </c>
      <c r="L419" s="3430"/>
      <c r="M419" s="3156">
        <f t="shared" si="79"/>
        <v>1</v>
      </c>
      <c r="N419" s="3430"/>
      <c r="O419" s="3156">
        <f t="shared" si="80"/>
        <v>1</v>
      </c>
      <c r="P419" s="3430"/>
      <c r="Q419" s="3156">
        <f t="shared" si="81"/>
        <v>1</v>
      </c>
      <c r="R419" s="3921">
        <f t="shared" si="82"/>
        <v>0</v>
      </c>
      <c r="S419" s="4017">
        <f t="shared" si="73"/>
        <v>0</v>
      </c>
    </row>
    <row r="420" spans="1:19">
      <c r="A420" s="3157"/>
      <c r="B420" s="3428"/>
      <c r="C420" s="3156">
        <f t="shared" si="74"/>
        <v>1</v>
      </c>
      <c r="D420" s="3430"/>
      <c r="E420" s="3156">
        <f t="shared" si="75"/>
        <v>0</v>
      </c>
      <c r="F420" s="3430"/>
      <c r="G420" s="3156">
        <f t="shared" si="76"/>
        <v>1</v>
      </c>
      <c r="H420" s="3430"/>
      <c r="I420" s="3156">
        <f t="shared" si="77"/>
        <v>1</v>
      </c>
      <c r="J420" s="3430"/>
      <c r="K420" s="3156">
        <f t="shared" si="78"/>
        <v>1</v>
      </c>
      <c r="L420" s="3430"/>
      <c r="M420" s="3156">
        <f t="shared" si="79"/>
        <v>1</v>
      </c>
      <c r="N420" s="3430"/>
      <c r="O420" s="3156">
        <f t="shared" si="80"/>
        <v>1</v>
      </c>
      <c r="P420" s="3430"/>
      <c r="Q420" s="3156">
        <f t="shared" si="81"/>
        <v>1</v>
      </c>
      <c r="R420" s="3921">
        <f t="shared" si="82"/>
        <v>0</v>
      </c>
      <c r="S420" s="4017">
        <f t="shared" si="73"/>
        <v>0</v>
      </c>
    </row>
    <row r="421" spans="1:19">
      <c r="A421" s="3157"/>
      <c r="B421" s="3428"/>
      <c r="C421" s="3156">
        <f t="shared" si="74"/>
        <v>1</v>
      </c>
      <c r="D421" s="3430"/>
      <c r="E421" s="3156">
        <f t="shared" si="75"/>
        <v>0</v>
      </c>
      <c r="F421" s="3430"/>
      <c r="G421" s="3156">
        <f t="shared" si="76"/>
        <v>1</v>
      </c>
      <c r="H421" s="3430"/>
      <c r="I421" s="3156">
        <f t="shared" si="77"/>
        <v>1</v>
      </c>
      <c r="J421" s="3430"/>
      <c r="K421" s="3156">
        <f t="shared" si="78"/>
        <v>1</v>
      </c>
      <c r="L421" s="3430"/>
      <c r="M421" s="3156">
        <f t="shared" si="79"/>
        <v>1</v>
      </c>
      <c r="N421" s="3430"/>
      <c r="O421" s="3156">
        <f t="shared" si="80"/>
        <v>1</v>
      </c>
      <c r="P421" s="3430"/>
      <c r="Q421" s="3156">
        <f t="shared" si="81"/>
        <v>1</v>
      </c>
      <c r="R421" s="3921">
        <f t="shared" si="82"/>
        <v>0</v>
      </c>
      <c r="S421" s="4017">
        <f t="shared" si="73"/>
        <v>0</v>
      </c>
    </row>
    <row r="422" spans="1:19">
      <c r="A422" s="3157"/>
      <c r="B422" s="3428"/>
      <c r="C422" s="3156">
        <f t="shared" si="74"/>
        <v>1</v>
      </c>
      <c r="D422" s="3430"/>
      <c r="E422" s="3156">
        <f t="shared" si="75"/>
        <v>0</v>
      </c>
      <c r="F422" s="3430"/>
      <c r="G422" s="3156">
        <f t="shared" si="76"/>
        <v>1</v>
      </c>
      <c r="H422" s="3430"/>
      <c r="I422" s="3156">
        <f t="shared" si="77"/>
        <v>1</v>
      </c>
      <c r="J422" s="3430"/>
      <c r="K422" s="3156">
        <f t="shared" si="78"/>
        <v>1</v>
      </c>
      <c r="L422" s="3430"/>
      <c r="M422" s="3156">
        <f t="shared" si="79"/>
        <v>1</v>
      </c>
      <c r="N422" s="3430"/>
      <c r="O422" s="3156">
        <f t="shared" si="80"/>
        <v>1</v>
      </c>
      <c r="P422" s="3430"/>
      <c r="Q422" s="3156">
        <f t="shared" si="81"/>
        <v>1</v>
      </c>
      <c r="R422" s="3921">
        <f t="shared" si="82"/>
        <v>0</v>
      </c>
      <c r="S422" s="4017">
        <f t="shared" si="73"/>
        <v>0</v>
      </c>
    </row>
    <row r="423" spans="1:19">
      <c r="A423" s="3157"/>
      <c r="B423" s="3428"/>
      <c r="C423" s="3156">
        <f t="shared" si="74"/>
        <v>1</v>
      </c>
      <c r="D423" s="3430"/>
      <c r="E423" s="3156">
        <f t="shared" si="75"/>
        <v>0</v>
      </c>
      <c r="F423" s="3430"/>
      <c r="G423" s="3156">
        <f t="shared" si="76"/>
        <v>1</v>
      </c>
      <c r="H423" s="3430"/>
      <c r="I423" s="3156">
        <f t="shared" si="77"/>
        <v>1</v>
      </c>
      <c r="J423" s="3430"/>
      <c r="K423" s="3156">
        <f t="shared" si="78"/>
        <v>1</v>
      </c>
      <c r="L423" s="3430"/>
      <c r="M423" s="3156">
        <f t="shared" si="79"/>
        <v>1</v>
      </c>
      <c r="N423" s="3430"/>
      <c r="O423" s="3156">
        <f t="shared" si="80"/>
        <v>1</v>
      </c>
      <c r="P423" s="3430"/>
      <c r="Q423" s="3156">
        <f t="shared" si="81"/>
        <v>1</v>
      </c>
      <c r="R423" s="3921">
        <f t="shared" si="82"/>
        <v>0</v>
      </c>
      <c r="S423" s="4017">
        <f t="shared" ref="S423:S467" si="83">ROUND(R423*B423/10000,0)</f>
        <v>0</v>
      </c>
    </row>
    <row r="424" spans="1:19">
      <c r="A424" s="3157"/>
      <c r="B424" s="3428"/>
      <c r="C424" s="3156">
        <f t="shared" si="74"/>
        <v>1</v>
      </c>
      <c r="D424" s="3430"/>
      <c r="E424" s="3156">
        <f t="shared" si="75"/>
        <v>0</v>
      </c>
      <c r="F424" s="3430"/>
      <c r="G424" s="3156">
        <f t="shared" si="76"/>
        <v>1</v>
      </c>
      <c r="H424" s="3430"/>
      <c r="I424" s="3156">
        <f t="shared" si="77"/>
        <v>1</v>
      </c>
      <c r="J424" s="3430"/>
      <c r="K424" s="3156">
        <f t="shared" si="78"/>
        <v>1</v>
      </c>
      <c r="L424" s="3430"/>
      <c r="M424" s="3156">
        <f t="shared" si="79"/>
        <v>1</v>
      </c>
      <c r="N424" s="3430"/>
      <c r="O424" s="3156">
        <f t="shared" si="80"/>
        <v>1</v>
      </c>
      <c r="P424" s="3430"/>
      <c r="Q424" s="3156">
        <f t="shared" si="81"/>
        <v>1</v>
      </c>
      <c r="R424" s="3921">
        <f t="shared" si="82"/>
        <v>0</v>
      </c>
      <c r="S424" s="4017">
        <f t="shared" si="83"/>
        <v>0</v>
      </c>
    </row>
    <row r="425" spans="1:19">
      <c r="A425" s="3157"/>
      <c r="B425" s="3428"/>
      <c r="C425" s="3156">
        <f t="shared" si="74"/>
        <v>1</v>
      </c>
      <c r="D425" s="3430"/>
      <c r="E425" s="3156">
        <f t="shared" si="75"/>
        <v>0</v>
      </c>
      <c r="F425" s="3430"/>
      <c r="G425" s="3156">
        <f t="shared" si="76"/>
        <v>1</v>
      </c>
      <c r="H425" s="3430"/>
      <c r="I425" s="3156">
        <f t="shared" si="77"/>
        <v>1</v>
      </c>
      <c r="J425" s="3430"/>
      <c r="K425" s="3156">
        <f t="shared" si="78"/>
        <v>1</v>
      </c>
      <c r="L425" s="3430"/>
      <c r="M425" s="3156">
        <f t="shared" si="79"/>
        <v>1</v>
      </c>
      <c r="N425" s="3430"/>
      <c r="O425" s="3156">
        <f t="shared" si="80"/>
        <v>1</v>
      </c>
      <c r="P425" s="3430"/>
      <c r="Q425" s="3156">
        <f t="shared" si="81"/>
        <v>1</v>
      </c>
      <c r="R425" s="3921">
        <f t="shared" si="82"/>
        <v>0</v>
      </c>
      <c r="S425" s="4017">
        <f t="shared" si="83"/>
        <v>0</v>
      </c>
    </row>
    <row r="426" spans="1:19">
      <c r="A426" s="3157"/>
      <c r="B426" s="3428"/>
      <c r="C426" s="3156">
        <f t="shared" si="74"/>
        <v>1</v>
      </c>
      <c r="D426" s="3430"/>
      <c r="E426" s="3156">
        <f t="shared" si="75"/>
        <v>0</v>
      </c>
      <c r="F426" s="3430"/>
      <c r="G426" s="3156">
        <f t="shared" si="76"/>
        <v>1</v>
      </c>
      <c r="H426" s="3430"/>
      <c r="I426" s="3156">
        <f t="shared" si="77"/>
        <v>1</v>
      </c>
      <c r="J426" s="3430"/>
      <c r="K426" s="3156">
        <f t="shared" si="78"/>
        <v>1</v>
      </c>
      <c r="L426" s="3430"/>
      <c r="M426" s="3156">
        <f t="shared" si="79"/>
        <v>1</v>
      </c>
      <c r="N426" s="3430"/>
      <c r="O426" s="3156">
        <f t="shared" si="80"/>
        <v>1</v>
      </c>
      <c r="P426" s="3430"/>
      <c r="Q426" s="3156">
        <f t="shared" si="81"/>
        <v>1</v>
      </c>
      <c r="R426" s="3921">
        <f t="shared" si="82"/>
        <v>0</v>
      </c>
      <c r="S426" s="4017">
        <f t="shared" si="83"/>
        <v>0</v>
      </c>
    </row>
    <row r="427" spans="1:19">
      <c r="A427" s="3157"/>
      <c r="B427" s="3428"/>
      <c r="C427" s="3156">
        <f t="shared" si="74"/>
        <v>1</v>
      </c>
      <c r="D427" s="3430"/>
      <c r="E427" s="3156">
        <f t="shared" si="75"/>
        <v>0</v>
      </c>
      <c r="F427" s="3430"/>
      <c r="G427" s="3156">
        <f t="shared" si="76"/>
        <v>1</v>
      </c>
      <c r="H427" s="3430"/>
      <c r="I427" s="3156">
        <f t="shared" si="77"/>
        <v>1</v>
      </c>
      <c r="J427" s="3430"/>
      <c r="K427" s="3156">
        <f t="shared" si="78"/>
        <v>1</v>
      </c>
      <c r="L427" s="3430"/>
      <c r="M427" s="3156">
        <f t="shared" si="79"/>
        <v>1</v>
      </c>
      <c r="N427" s="3430"/>
      <c r="O427" s="3156">
        <f t="shared" si="80"/>
        <v>1</v>
      </c>
      <c r="P427" s="3430"/>
      <c r="Q427" s="3156">
        <f t="shared" si="81"/>
        <v>1</v>
      </c>
      <c r="R427" s="3921">
        <f t="shared" si="82"/>
        <v>0</v>
      </c>
      <c r="S427" s="4017">
        <f t="shared" si="83"/>
        <v>0</v>
      </c>
    </row>
    <row r="428" spans="1:19">
      <c r="A428" s="3157"/>
      <c r="B428" s="3428"/>
      <c r="C428" s="3156">
        <f t="shared" si="74"/>
        <v>1</v>
      </c>
      <c r="D428" s="3430"/>
      <c r="E428" s="3156">
        <f t="shared" si="75"/>
        <v>0</v>
      </c>
      <c r="F428" s="3430"/>
      <c r="G428" s="3156">
        <f t="shared" si="76"/>
        <v>1</v>
      </c>
      <c r="H428" s="3430"/>
      <c r="I428" s="3156">
        <f t="shared" si="77"/>
        <v>1</v>
      </c>
      <c r="J428" s="3430"/>
      <c r="K428" s="3156">
        <f t="shared" si="78"/>
        <v>1</v>
      </c>
      <c r="L428" s="3430"/>
      <c r="M428" s="3156">
        <f t="shared" si="79"/>
        <v>1</v>
      </c>
      <c r="N428" s="3430"/>
      <c r="O428" s="3156">
        <f t="shared" si="80"/>
        <v>1</v>
      </c>
      <c r="P428" s="3430"/>
      <c r="Q428" s="3156">
        <f t="shared" si="81"/>
        <v>1</v>
      </c>
      <c r="R428" s="3921">
        <f t="shared" si="82"/>
        <v>0</v>
      </c>
      <c r="S428" s="4017">
        <f t="shared" si="83"/>
        <v>0</v>
      </c>
    </row>
    <row r="429" spans="1:19">
      <c r="A429" s="3157"/>
      <c r="B429" s="3428"/>
      <c r="C429" s="3156">
        <f t="shared" si="74"/>
        <v>1</v>
      </c>
      <c r="D429" s="3430"/>
      <c r="E429" s="3156">
        <f t="shared" si="75"/>
        <v>0</v>
      </c>
      <c r="F429" s="3430"/>
      <c r="G429" s="3156">
        <f t="shared" si="76"/>
        <v>1</v>
      </c>
      <c r="H429" s="3430"/>
      <c r="I429" s="3156">
        <f t="shared" si="77"/>
        <v>1</v>
      </c>
      <c r="J429" s="3430"/>
      <c r="K429" s="3156">
        <f t="shared" si="78"/>
        <v>1</v>
      </c>
      <c r="L429" s="3430"/>
      <c r="M429" s="3156">
        <f t="shared" si="79"/>
        <v>1</v>
      </c>
      <c r="N429" s="3430"/>
      <c r="O429" s="3156">
        <f t="shared" si="80"/>
        <v>1</v>
      </c>
      <c r="P429" s="3430"/>
      <c r="Q429" s="3156">
        <f t="shared" si="81"/>
        <v>1</v>
      </c>
      <c r="R429" s="3921">
        <f t="shared" si="82"/>
        <v>0</v>
      </c>
      <c r="S429" s="4017">
        <f t="shared" si="83"/>
        <v>0</v>
      </c>
    </row>
    <row r="430" spans="1:19">
      <c r="A430" s="3157"/>
      <c r="B430" s="3428"/>
      <c r="C430" s="3156">
        <f t="shared" si="74"/>
        <v>1</v>
      </c>
      <c r="D430" s="3430"/>
      <c r="E430" s="3156">
        <f t="shared" si="75"/>
        <v>0</v>
      </c>
      <c r="F430" s="3430"/>
      <c r="G430" s="3156">
        <f t="shared" si="76"/>
        <v>1</v>
      </c>
      <c r="H430" s="3430"/>
      <c r="I430" s="3156">
        <f t="shared" si="77"/>
        <v>1</v>
      </c>
      <c r="J430" s="3430"/>
      <c r="K430" s="3156">
        <f t="shared" si="78"/>
        <v>1</v>
      </c>
      <c r="L430" s="3430"/>
      <c r="M430" s="3156">
        <f t="shared" si="79"/>
        <v>1</v>
      </c>
      <c r="N430" s="3430"/>
      <c r="O430" s="3156">
        <f t="shared" si="80"/>
        <v>1</v>
      </c>
      <c r="P430" s="3430"/>
      <c r="Q430" s="3156">
        <f t="shared" si="81"/>
        <v>1</v>
      </c>
      <c r="R430" s="3921">
        <f t="shared" si="82"/>
        <v>0</v>
      </c>
      <c r="S430" s="4017">
        <f t="shared" si="83"/>
        <v>0</v>
      </c>
    </row>
    <row r="431" spans="1:19">
      <c r="A431" s="3157"/>
      <c r="B431" s="3428"/>
      <c r="C431" s="3156">
        <f t="shared" si="74"/>
        <v>1</v>
      </c>
      <c r="D431" s="3430"/>
      <c r="E431" s="3156">
        <f t="shared" si="75"/>
        <v>0</v>
      </c>
      <c r="F431" s="3430"/>
      <c r="G431" s="3156">
        <f t="shared" si="76"/>
        <v>1</v>
      </c>
      <c r="H431" s="3430"/>
      <c r="I431" s="3156">
        <f t="shared" si="77"/>
        <v>1</v>
      </c>
      <c r="J431" s="3430"/>
      <c r="K431" s="3156">
        <f t="shared" si="78"/>
        <v>1</v>
      </c>
      <c r="L431" s="3430"/>
      <c r="M431" s="3156">
        <f t="shared" si="79"/>
        <v>1</v>
      </c>
      <c r="N431" s="3430"/>
      <c r="O431" s="3156">
        <f t="shared" si="80"/>
        <v>1</v>
      </c>
      <c r="P431" s="3430"/>
      <c r="Q431" s="3156">
        <f t="shared" si="81"/>
        <v>1</v>
      </c>
      <c r="R431" s="3921">
        <f t="shared" si="82"/>
        <v>0</v>
      </c>
      <c r="S431" s="4017">
        <f t="shared" si="83"/>
        <v>0</v>
      </c>
    </row>
    <row r="432" spans="1:19">
      <c r="A432" s="3157"/>
      <c r="B432" s="3428"/>
      <c r="C432" s="3156">
        <f t="shared" si="74"/>
        <v>1</v>
      </c>
      <c r="D432" s="3430"/>
      <c r="E432" s="3156">
        <f t="shared" si="75"/>
        <v>0</v>
      </c>
      <c r="F432" s="3430"/>
      <c r="G432" s="3156">
        <f t="shared" si="76"/>
        <v>1</v>
      </c>
      <c r="H432" s="3430"/>
      <c r="I432" s="3156">
        <f t="shared" si="77"/>
        <v>1</v>
      </c>
      <c r="J432" s="3430"/>
      <c r="K432" s="3156">
        <f t="shared" si="78"/>
        <v>1</v>
      </c>
      <c r="L432" s="3430"/>
      <c r="M432" s="3156">
        <f t="shared" si="79"/>
        <v>1</v>
      </c>
      <c r="N432" s="3430"/>
      <c r="O432" s="3156">
        <f t="shared" si="80"/>
        <v>1</v>
      </c>
      <c r="P432" s="3430"/>
      <c r="Q432" s="3156">
        <f t="shared" si="81"/>
        <v>1</v>
      </c>
      <c r="R432" s="3921">
        <f t="shared" si="82"/>
        <v>0</v>
      </c>
      <c r="S432" s="4017">
        <f t="shared" si="83"/>
        <v>0</v>
      </c>
    </row>
    <row r="433" spans="1:19">
      <c r="A433" s="3157"/>
      <c r="B433" s="3428"/>
      <c r="C433" s="3156">
        <f t="shared" si="74"/>
        <v>1</v>
      </c>
      <c r="D433" s="3430"/>
      <c r="E433" s="3156">
        <f t="shared" si="75"/>
        <v>0</v>
      </c>
      <c r="F433" s="3430"/>
      <c r="G433" s="3156">
        <f t="shared" si="76"/>
        <v>1</v>
      </c>
      <c r="H433" s="3430"/>
      <c r="I433" s="3156">
        <f t="shared" si="77"/>
        <v>1</v>
      </c>
      <c r="J433" s="3430"/>
      <c r="K433" s="3156">
        <f t="shared" si="78"/>
        <v>1</v>
      </c>
      <c r="L433" s="3430"/>
      <c r="M433" s="3156">
        <f t="shared" si="79"/>
        <v>1</v>
      </c>
      <c r="N433" s="3430"/>
      <c r="O433" s="3156">
        <f t="shared" si="80"/>
        <v>1</v>
      </c>
      <c r="P433" s="3430"/>
      <c r="Q433" s="3156">
        <f t="shared" si="81"/>
        <v>1</v>
      </c>
      <c r="R433" s="3921">
        <f t="shared" si="82"/>
        <v>0</v>
      </c>
      <c r="S433" s="4017">
        <f t="shared" si="83"/>
        <v>0</v>
      </c>
    </row>
    <row r="434" spans="1:19">
      <c r="A434" s="3157"/>
      <c r="B434" s="3428"/>
      <c r="C434" s="3156">
        <f t="shared" si="74"/>
        <v>1</v>
      </c>
      <c r="D434" s="3430"/>
      <c r="E434" s="3156">
        <f t="shared" si="75"/>
        <v>0</v>
      </c>
      <c r="F434" s="3430"/>
      <c r="G434" s="3156">
        <f t="shared" si="76"/>
        <v>1</v>
      </c>
      <c r="H434" s="3430"/>
      <c r="I434" s="3156">
        <f t="shared" si="77"/>
        <v>1</v>
      </c>
      <c r="J434" s="3430"/>
      <c r="K434" s="3156">
        <f t="shared" si="78"/>
        <v>1</v>
      </c>
      <c r="L434" s="3430"/>
      <c r="M434" s="3156">
        <f t="shared" si="79"/>
        <v>1</v>
      </c>
      <c r="N434" s="3430"/>
      <c r="O434" s="3156">
        <f t="shared" si="80"/>
        <v>1</v>
      </c>
      <c r="P434" s="3430"/>
      <c r="Q434" s="3156">
        <f t="shared" si="81"/>
        <v>1</v>
      </c>
      <c r="R434" s="3921">
        <f t="shared" si="82"/>
        <v>0</v>
      </c>
      <c r="S434" s="4017">
        <f t="shared" si="83"/>
        <v>0</v>
      </c>
    </row>
    <row r="435" spans="1:19">
      <c r="A435" s="3157"/>
      <c r="B435" s="3428"/>
      <c r="C435" s="3156">
        <f t="shared" si="74"/>
        <v>1</v>
      </c>
      <c r="D435" s="3430"/>
      <c r="E435" s="3156">
        <f t="shared" si="75"/>
        <v>0</v>
      </c>
      <c r="F435" s="3430"/>
      <c r="G435" s="3156">
        <f t="shared" si="76"/>
        <v>1</v>
      </c>
      <c r="H435" s="3430"/>
      <c r="I435" s="3156">
        <f t="shared" si="77"/>
        <v>1</v>
      </c>
      <c r="J435" s="3430"/>
      <c r="K435" s="3156">
        <f t="shared" si="78"/>
        <v>1</v>
      </c>
      <c r="L435" s="3430"/>
      <c r="M435" s="3156">
        <f t="shared" si="79"/>
        <v>1</v>
      </c>
      <c r="N435" s="3430"/>
      <c r="O435" s="3156">
        <f t="shared" si="80"/>
        <v>1</v>
      </c>
      <c r="P435" s="3430"/>
      <c r="Q435" s="3156">
        <f t="shared" si="81"/>
        <v>1</v>
      </c>
      <c r="R435" s="3921">
        <f t="shared" si="82"/>
        <v>0</v>
      </c>
      <c r="S435" s="4017">
        <f t="shared" si="83"/>
        <v>0</v>
      </c>
    </row>
    <row r="436" spans="1:19">
      <c r="A436" s="3157"/>
      <c r="B436" s="3428"/>
      <c r="C436" s="3156">
        <f t="shared" si="74"/>
        <v>1</v>
      </c>
      <c r="D436" s="3430"/>
      <c r="E436" s="3156">
        <f t="shared" si="75"/>
        <v>0</v>
      </c>
      <c r="F436" s="3430"/>
      <c r="G436" s="3156">
        <f t="shared" si="76"/>
        <v>1</v>
      </c>
      <c r="H436" s="3430"/>
      <c r="I436" s="3156">
        <f t="shared" si="77"/>
        <v>1</v>
      </c>
      <c r="J436" s="3430"/>
      <c r="K436" s="3156">
        <f t="shared" si="78"/>
        <v>1</v>
      </c>
      <c r="L436" s="3430"/>
      <c r="M436" s="3156">
        <f t="shared" si="79"/>
        <v>1</v>
      </c>
      <c r="N436" s="3430"/>
      <c r="O436" s="3156">
        <f t="shared" si="80"/>
        <v>1</v>
      </c>
      <c r="P436" s="3430"/>
      <c r="Q436" s="3156">
        <f t="shared" si="81"/>
        <v>1</v>
      </c>
      <c r="R436" s="3921">
        <f t="shared" si="82"/>
        <v>0</v>
      </c>
      <c r="S436" s="4017">
        <f t="shared" si="83"/>
        <v>0</v>
      </c>
    </row>
    <row r="437" spans="1:19">
      <c r="A437" s="3157"/>
      <c r="B437" s="3428"/>
      <c r="C437" s="3156">
        <f t="shared" si="74"/>
        <v>1</v>
      </c>
      <c r="D437" s="3430"/>
      <c r="E437" s="3156">
        <f t="shared" si="75"/>
        <v>0</v>
      </c>
      <c r="F437" s="3430"/>
      <c r="G437" s="3156">
        <f t="shared" si="76"/>
        <v>1</v>
      </c>
      <c r="H437" s="3430"/>
      <c r="I437" s="3156">
        <f t="shared" si="77"/>
        <v>1</v>
      </c>
      <c r="J437" s="3430"/>
      <c r="K437" s="3156">
        <f t="shared" si="78"/>
        <v>1</v>
      </c>
      <c r="L437" s="3430"/>
      <c r="M437" s="3156">
        <f t="shared" si="79"/>
        <v>1</v>
      </c>
      <c r="N437" s="3430"/>
      <c r="O437" s="3156">
        <f t="shared" si="80"/>
        <v>1</v>
      </c>
      <c r="P437" s="3430"/>
      <c r="Q437" s="3156">
        <f t="shared" si="81"/>
        <v>1</v>
      </c>
      <c r="R437" s="3921">
        <f t="shared" si="82"/>
        <v>0</v>
      </c>
      <c r="S437" s="4017">
        <f t="shared" si="83"/>
        <v>0</v>
      </c>
    </row>
    <row r="438" spans="1:19">
      <c r="A438" s="3157"/>
      <c r="B438" s="3428"/>
      <c r="C438" s="3156">
        <f t="shared" si="74"/>
        <v>1</v>
      </c>
      <c r="D438" s="3430"/>
      <c r="E438" s="3156">
        <f t="shared" si="75"/>
        <v>0</v>
      </c>
      <c r="F438" s="3430"/>
      <c r="G438" s="3156">
        <f t="shared" si="76"/>
        <v>1</v>
      </c>
      <c r="H438" s="3430"/>
      <c r="I438" s="3156">
        <f t="shared" si="77"/>
        <v>1</v>
      </c>
      <c r="J438" s="3430"/>
      <c r="K438" s="3156">
        <f t="shared" si="78"/>
        <v>1</v>
      </c>
      <c r="L438" s="3430"/>
      <c r="M438" s="3156">
        <f t="shared" si="79"/>
        <v>1</v>
      </c>
      <c r="N438" s="3430"/>
      <c r="O438" s="3156">
        <f t="shared" si="80"/>
        <v>1</v>
      </c>
      <c r="P438" s="3430"/>
      <c r="Q438" s="3156">
        <f t="shared" si="81"/>
        <v>1</v>
      </c>
      <c r="R438" s="3921">
        <f t="shared" si="82"/>
        <v>0</v>
      </c>
      <c r="S438" s="4017">
        <f t="shared" si="83"/>
        <v>0</v>
      </c>
    </row>
    <row r="439" spans="1:19">
      <c r="A439" s="3157"/>
      <c r="B439" s="3428"/>
      <c r="C439" s="3156">
        <f t="shared" si="74"/>
        <v>1</v>
      </c>
      <c r="D439" s="3430"/>
      <c r="E439" s="3156">
        <f t="shared" si="75"/>
        <v>0</v>
      </c>
      <c r="F439" s="3430"/>
      <c r="G439" s="3156">
        <f t="shared" si="76"/>
        <v>1</v>
      </c>
      <c r="H439" s="3430"/>
      <c r="I439" s="3156">
        <f t="shared" si="77"/>
        <v>1</v>
      </c>
      <c r="J439" s="3430"/>
      <c r="K439" s="3156">
        <f t="shared" si="78"/>
        <v>1</v>
      </c>
      <c r="L439" s="3430"/>
      <c r="M439" s="3156">
        <f t="shared" si="79"/>
        <v>1</v>
      </c>
      <c r="N439" s="3430"/>
      <c r="O439" s="3156">
        <f t="shared" si="80"/>
        <v>1</v>
      </c>
      <c r="P439" s="3430"/>
      <c r="Q439" s="3156">
        <f t="shared" si="81"/>
        <v>1</v>
      </c>
      <c r="R439" s="3921">
        <f t="shared" si="82"/>
        <v>0</v>
      </c>
      <c r="S439" s="4017">
        <f t="shared" si="83"/>
        <v>0</v>
      </c>
    </row>
    <row r="440" spans="1:19">
      <c r="A440" s="3157"/>
      <c r="B440" s="3428"/>
      <c r="C440" s="3156">
        <f t="shared" si="74"/>
        <v>1</v>
      </c>
      <c r="D440" s="3430"/>
      <c r="E440" s="3156">
        <f t="shared" si="75"/>
        <v>0</v>
      </c>
      <c r="F440" s="3430"/>
      <c r="G440" s="3156">
        <f t="shared" si="76"/>
        <v>1</v>
      </c>
      <c r="H440" s="3430"/>
      <c r="I440" s="3156">
        <f t="shared" si="77"/>
        <v>1</v>
      </c>
      <c r="J440" s="3430"/>
      <c r="K440" s="3156">
        <f t="shared" si="78"/>
        <v>1</v>
      </c>
      <c r="L440" s="3430"/>
      <c r="M440" s="3156">
        <f t="shared" si="79"/>
        <v>1</v>
      </c>
      <c r="N440" s="3430"/>
      <c r="O440" s="3156">
        <f t="shared" si="80"/>
        <v>1</v>
      </c>
      <c r="P440" s="3430"/>
      <c r="Q440" s="3156">
        <f t="shared" si="81"/>
        <v>1</v>
      </c>
      <c r="R440" s="3921">
        <f t="shared" si="82"/>
        <v>0</v>
      </c>
      <c r="S440" s="4017">
        <f t="shared" si="83"/>
        <v>0</v>
      </c>
    </row>
    <row r="441" spans="1:19">
      <c r="A441" s="3157"/>
      <c r="B441" s="3428"/>
      <c r="C441" s="3156">
        <f t="shared" si="74"/>
        <v>1</v>
      </c>
      <c r="D441" s="3430"/>
      <c r="E441" s="3156">
        <f t="shared" si="75"/>
        <v>0</v>
      </c>
      <c r="F441" s="3430"/>
      <c r="G441" s="3156">
        <f t="shared" si="76"/>
        <v>1</v>
      </c>
      <c r="H441" s="3430"/>
      <c r="I441" s="3156">
        <f t="shared" si="77"/>
        <v>1</v>
      </c>
      <c r="J441" s="3430"/>
      <c r="K441" s="3156">
        <f t="shared" si="78"/>
        <v>1</v>
      </c>
      <c r="L441" s="3430"/>
      <c r="M441" s="3156">
        <f t="shared" si="79"/>
        <v>1</v>
      </c>
      <c r="N441" s="3430"/>
      <c r="O441" s="3156">
        <f t="shared" si="80"/>
        <v>1</v>
      </c>
      <c r="P441" s="3430"/>
      <c r="Q441" s="3156">
        <f t="shared" si="81"/>
        <v>1</v>
      </c>
      <c r="R441" s="3921">
        <f t="shared" si="82"/>
        <v>0</v>
      </c>
      <c r="S441" s="4017">
        <f t="shared" si="83"/>
        <v>0</v>
      </c>
    </row>
    <row r="442" spans="1:19">
      <c r="A442" s="3157"/>
      <c r="B442" s="3428"/>
      <c r="C442" s="3156">
        <f t="shared" si="74"/>
        <v>1</v>
      </c>
      <c r="D442" s="3430"/>
      <c r="E442" s="3156">
        <f t="shared" si="75"/>
        <v>0</v>
      </c>
      <c r="F442" s="3430"/>
      <c r="G442" s="3156">
        <f t="shared" si="76"/>
        <v>1</v>
      </c>
      <c r="H442" s="3430"/>
      <c r="I442" s="3156">
        <f t="shared" si="77"/>
        <v>1</v>
      </c>
      <c r="J442" s="3430"/>
      <c r="K442" s="3156">
        <f t="shared" si="78"/>
        <v>1</v>
      </c>
      <c r="L442" s="3430"/>
      <c r="M442" s="3156">
        <f t="shared" si="79"/>
        <v>1</v>
      </c>
      <c r="N442" s="3430"/>
      <c r="O442" s="3156">
        <f t="shared" si="80"/>
        <v>1</v>
      </c>
      <c r="P442" s="3430"/>
      <c r="Q442" s="3156">
        <f t="shared" si="81"/>
        <v>1</v>
      </c>
      <c r="R442" s="3921">
        <f t="shared" si="82"/>
        <v>0</v>
      </c>
      <c r="S442" s="4017">
        <f t="shared" si="83"/>
        <v>0</v>
      </c>
    </row>
    <row r="443" spans="1:19">
      <c r="A443" s="3157"/>
      <c r="B443" s="3428"/>
      <c r="C443" s="3156">
        <f t="shared" si="74"/>
        <v>1</v>
      </c>
      <c r="D443" s="3430"/>
      <c r="E443" s="3156">
        <f t="shared" si="75"/>
        <v>0</v>
      </c>
      <c r="F443" s="3430"/>
      <c r="G443" s="3156">
        <f t="shared" si="76"/>
        <v>1</v>
      </c>
      <c r="H443" s="3430"/>
      <c r="I443" s="3156">
        <f t="shared" si="77"/>
        <v>1</v>
      </c>
      <c r="J443" s="3430"/>
      <c r="K443" s="3156">
        <f t="shared" si="78"/>
        <v>1</v>
      </c>
      <c r="L443" s="3430"/>
      <c r="M443" s="3156">
        <f t="shared" si="79"/>
        <v>1</v>
      </c>
      <c r="N443" s="3430"/>
      <c r="O443" s="3156">
        <f t="shared" si="80"/>
        <v>1</v>
      </c>
      <c r="P443" s="3430"/>
      <c r="Q443" s="3156">
        <f t="shared" si="81"/>
        <v>1</v>
      </c>
      <c r="R443" s="3921">
        <f t="shared" si="82"/>
        <v>0</v>
      </c>
      <c r="S443" s="4017">
        <f t="shared" si="83"/>
        <v>0</v>
      </c>
    </row>
    <row r="444" spans="1:19">
      <c r="A444" s="3157"/>
      <c r="B444" s="3428"/>
      <c r="C444" s="3156">
        <f t="shared" si="74"/>
        <v>1</v>
      </c>
      <c r="D444" s="3430"/>
      <c r="E444" s="3156">
        <f t="shared" si="75"/>
        <v>0</v>
      </c>
      <c r="F444" s="3430"/>
      <c r="G444" s="3156">
        <f t="shared" si="76"/>
        <v>1</v>
      </c>
      <c r="H444" s="3430"/>
      <c r="I444" s="3156">
        <f t="shared" si="77"/>
        <v>1</v>
      </c>
      <c r="J444" s="3430"/>
      <c r="K444" s="3156">
        <f t="shared" si="78"/>
        <v>1</v>
      </c>
      <c r="L444" s="3430"/>
      <c r="M444" s="3156">
        <f t="shared" si="79"/>
        <v>1</v>
      </c>
      <c r="N444" s="3430"/>
      <c r="O444" s="3156">
        <f t="shared" si="80"/>
        <v>1</v>
      </c>
      <c r="P444" s="3430"/>
      <c r="Q444" s="3156">
        <f t="shared" si="81"/>
        <v>1</v>
      </c>
      <c r="R444" s="3921">
        <f t="shared" si="82"/>
        <v>0</v>
      </c>
      <c r="S444" s="4017">
        <f t="shared" si="83"/>
        <v>0</v>
      </c>
    </row>
    <row r="445" spans="1:19">
      <c r="A445" s="3157"/>
      <c r="B445" s="3428"/>
      <c r="C445" s="3156">
        <f t="shared" si="74"/>
        <v>1</v>
      </c>
      <c r="D445" s="3430"/>
      <c r="E445" s="3156">
        <f t="shared" si="75"/>
        <v>0</v>
      </c>
      <c r="F445" s="3430"/>
      <c r="G445" s="3156">
        <f t="shared" si="76"/>
        <v>1</v>
      </c>
      <c r="H445" s="3430"/>
      <c r="I445" s="3156">
        <f t="shared" si="77"/>
        <v>1</v>
      </c>
      <c r="J445" s="3430"/>
      <c r="K445" s="3156">
        <f t="shared" si="78"/>
        <v>1</v>
      </c>
      <c r="L445" s="3430"/>
      <c r="M445" s="3156">
        <f t="shared" si="79"/>
        <v>1</v>
      </c>
      <c r="N445" s="3430"/>
      <c r="O445" s="3156">
        <f t="shared" si="80"/>
        <v>1</v>
      </c>
      <c r="P445" s="3430"/>
      <c r="Q445" s="3156">
        <f t="shared" si="81"/>
        <v>1</v>
      </c>
      <c r="R445" s="3921">
        <f t="shared" si="82"/>
        <v>0</v>
      </c>
      <c r="S445" s="4017">
        <f t="shared" si="83"/>
        <v>0</v>
      </c>
    </row>
    <row r="446" spans="1:19">
      <c r="A446" s="3157"/>
      <c r="B446" s="3428"/>
      <c r="C446" s="3156">
        <f t="shared" si="74"/>
        <v>1</v>
      </c>
      <c r="D446" s="3430"/>
      <c r="E446" s="3156">
        <f t="shared" si="75"/>
        <v>0</v>
      </c>
      <c r="F446" s="3430"/>
      <c r="G446" s="3156">
        <f t="shared" si="76"/>
        <v>1</v>
      </c>
      <c r="H446" s="3430"/>
      <c r="I446" s="3156">
        <f t="shared" si="77"/>
        <v>1</v>
      </c>
      <c r="J446" s="3430"/>
      <c r="K446" s="3156">
        <f t="shared" si="78"/>
        <v>1</v>
      </c>
      <c r="L446" s="3430"/>
      <c r="M446" s="3156">
        <f t="shared" si="79"/>
        <v>1</v>
      </c>
      <c r="N446" s="3430"/>
      <c r="O446" s="3156">
        <f t="shared" si="80"/>
        <v>1</v>
      </c>
      <c r="P446" s="3430"/>
      <c r="Q446" s="3156">
        <f t="shared" si="81"/>
        <v>1</v>
      </c>
      <c r="R446" s="3921">
        <f t="shared" si="82"/>
        <v>0</v>
      </c>
      <c r="S446" s="4017">
        <f t="shared" si="83"/>
        <v>0</v>
      </c>
    </row>
    <row r="447" spans="1:19">
      <c r="A447" s="3157"/>
      <c r="B447" s="3428"/>
      <c r="C447" s="3156">
        <f t="shared" si="74"/>
        <v>1</v>
      </c>
      <c r="D447" s="3430"/>
      <c r="E447" s="3156">
        <f t="shared" si="75"/>
        <v>0</v>
      </c>
      <c r="F447" s="3430"/>
      <c r="G447" s="3156">
        <f t="shared" si="76"/>
        <v>1</v>
      </c>
      <c r="H447" s="3430"/>
      <c r="I447" s="3156">
        <f t="shared" si="77"/>
        <v>1</v>
      </c>
      <c r="J447" s="3430"/>
      <c r="K447" s="3156">
        <f t="shared" si="78"/>
        <v>1</v>
      </c>
      <c r="L447" s="3430"/>
      <c r="M447" s="3156">
        <f t="shared" si="79"/>
        <v>1</v>
      </c>
      <c r="N447" s="3430"/>
      <c r="O447" s="3156">
        <f t="shared" si="80"/>
        <v>1</v>
      </c>
      <c r="P447" s="3430"/>
      <c r="Q447" s="3156">
        <f t="shared" si="81"/>
        <v>1</v>
      </c>
      <c r="R447" s="3921">
        <f t="shared" si="82"/>
        <v>0</v>
      </c>
      <c r="S447" s="4017">
        <f t="shared" si="83"/>
        <v>0</v>
      </c>
    </row>
    <row r="448" spans="1:19">
      <c r="A448" s="3157"/>
      <c r="B448" s="3428"/>
      <c r="C448" s="3156">
        <f t="shared" si="74"/>
        <v>1</v>
      </c>
      <c r="D448" s="3430"/>
      <c r="E448" s="3156">
        <f t="shared" si="75"/>
        <v>0</v>
      </c>
      <c r="F448" s="3430"/>
      <c r="G448" s="3156">
        <f t="shared" si="76"/>
        <v>1</v>
      </c>
      <c r="H448" s="3430"/>
      <c r="I448" s="3156">
        <f t="shared" si="77"/>
        <v>1</v>
      </c>
      <c r="J448" s="3430"/>
      <c r="K448" s="3156">
        <f t="shared" si="78"/>
        <v>1</v>
      </c>
      <c r="L448" s="3430"/>
      <c r="M448" s="3156">
        <f t="shared" si="79"/>
        <v>1</v>
      </c>
      <c r="N448" s="3430"/>
      <c r="O448" s="3156">
        <f t="shared" si="80"/>
        <v>1</v>
      </c>
      <c r="P448" s="3430"/>
      <c r="Q448" s="3156">
        <f t="shared" si="81"/>
        <v>1</v>
      </c>
      <c r="R448" s="3921">
        <f t="shared" si="82"/>
        <v>0</v>
      </c>
      <c r="S448" s="4017">
        <f t="shared" si="83"/>
        <v>0</v>
      </c>
    </row>
    <row r="449" spans="1:19">
      <c r="A449" s="3157"/>
      <c r="B449" s="3428"/>
      <c r="C449" s="3156">
        <f t="shared" si="74"/>
        <v>1</v>
      </c>
      <c r="D449" s="3430"/>
      <c r="E449" s="3156">
        <f t="shared" si="75"/>
        <v>0</v>
      </c>
      <c r="F449" s="3430"/>
      <c r="G449" s="3156">
        <f t="shared" si="76"/>
        <v>1</v>
      </c>
      <c r="H449" s="3430"/>
      <c r="I449" s="3156">
        <f t="shared" si="77"/>
        <v>1</v>
      </c>
      <c r="J449" s="3430"/>
      <c r="K449" s="3156">
        <f t="shared" si="78"/>
        <v>1</v>
      </c>
      <c r="L449" s="3430"/>
      <c r="M449" s="3156">
        <f t="shared" si="79"/>
        <v>1</v>
      </c>
      <c r="N449" s="3430"/>
      <c r="O449" s="3156">
        <f t="shared" si="80"/>
        <v>1</v>
      </c>
      <c r="P449" s="3430"/>
      <c r="Q449" s="3156">
        <f t="shared" si="81"/>
        <v>1</v>
      </c>
      <c r="R449" s="3921">
        <f t="shared" si="82"/>
        <v>0</v>
      </c>
      <c r="S449" s="4017">
        <f t="shared" si="83"/>
        <v>0</v>
      </c>
    </row>
    <row r="450" spans="1:19">
      <c r="A450" s="3157"/>
      <c r="B450" s="3428"/>
      <c r="C450" s="3156">
        <f t="shared" si="74"/>
        <v>1</v>
      </c>
      <c r="D450" s="3430"/>
      <c r="E450" s="3156">
        <f t="shared" si="75"/>
        <v>0</v>
      </c>
      <c r="F450" s="3430"/>
      <c r="G450" s="3156">
        <f t="shared" si="76"/>
        <v>1</v>
      </c>
      <c r="H450" s="3430"/>
      <c r="I450" s="3156">
        <f t="shared" si="77"/>
        <v>1</v>
      </c>
      <c r="J450" s="3430"/>
      <c r="K450" s="3156">
        <f t="shared" si="78"/>
        <v>1</v>
      </c>
      <c r="L450" s="3430"/>
      <c r="M450" s="3156">
        <f t="shared" si="79"/>
        <v>1</v>
      </c>
      <c r="N450" s="3430"/>
      <c r="O450" s="3156">
        <f t="shared" si="80"/>
        <v>1</v>
      </c>
      <c r="P450" s="3430"/>
      <c r="Q450" s="3156">
        <f t="shared" si="81"/>
        <v>1</v>
      </c>
      <c r="R450" s="3921">
        <f t="shared" si="82"/>
        <v>0</v>
      </c>
      <c r="S450" s="4017">
        <f t="shared" si="83"/>
        <v>0</v>
      </c>
    </row>
    <row r="451" spans="1:19">
      <c r="A451" s="3157"/>
      <c r="B451" s="3428"/>
      <c r="C451" s="3156">
        <f t="shared" si="74"/>
        <v>1</v>
      </c>
      <c r="D451" s="3430"/>
      <c r="E451" s="3156">
        <f t="shared" si="75"/>
        <v>0</v>
      </c>
      <c r="F451" s="3430"/>
      <c r="G451" s="3156">
        <f t="shared" si="76"/>
        <v>1</v>
      </c>
      <c r="H451" s="3430"/>
      <c r="I451" s="3156">
        <f t="shared" si="77"/>
        <v>1</v>
      </c>
      <c r="J451" s="3430"/>
      <c r="K451" s="3156">
        <f t="shared" si="78"/>
        <v>1</v>
      </c>
      <c r="L451" s="3430"/>
      <c r="M451" s="3156">
        <f t="shared" si="79"/>
        <v>1</v>
      </c>
      <c r="N451" s="3430"/>
      <c r="O451" s="3156">
        <f t="shared" si="80"/>
        <v>1</v>
      </c>
      <c r="P451" s="3430"/>
      <c r="Q451" s="3156">
        <f t="shared" si="81"/>
        <v>1</v>
      </c>
      <c r="R451" s="3921">
        <f t="shared" si="82"/>
        <v>0</v>
      </c>
      <c r="S451" s="4017">
        <f t="shared" si="83"/>
        <v>0</v>
      </c>
    </row>
    <row r="452" spans="1:19">
      <c r="A452" s="3157"/>
      <c r="B452" s="3428"/>
      <c r="C452" s="3156">
        <f t="shared" si="74"/>
        <v>1</v>
      </c>
      <c r="D452" s="3430"/>
      <c r="E452" s="3156">
        <f t="shared" si="75"/>
        <v>0</v>
      </c>
      <c r="F452" s="3430"/>
      <c r="G452" s="3156">
        <f t="shared" si="76"/>
        <v>1</v>
      </c>
      <c r="H452" s="3430"/>
      <c r="I452" s="3156">
        <f t="shared" si="77"/>
        <v>1</v>
      </c>
      <c r="J452" s="3430"/>
      <c r="K452" s="3156">
        <f t="shared" si="78"/>
        <v>1</v>
      </c>
      <c r="L452" s="3430"/>
      <c r="M452" s="3156">
        <f t="shared" si="79"/>
        <v>1</v>
      </c>
      <c r="N452" s="3430"/>
      <c r="O452" s="3156">
        <f t="shared" si="80"/>
        <v>1</v>
      </c>
      <c r="P452" s="3430"/>
      <c r="Q452" s="3156">
        <f t="shared" si="81"/>
        <v>1</v>
      </c>
      <c r="R452" s="3921">
        <f t="shared" si="82"/>
        <v>0</v>
      </c>
      <c r="S452" s="4017">
        <f t="shared" si="83"/>
        <v>0</v>
      </c>
    </row>
    <row r="453" spans="1:19">
      <c r="A453" s="3157"/>
      <c r="B453" s="3428"/>
      <c r="C453" s="3156">
        <f t="shared" si="74"/>
        <v>1</v>
      </c>
      <c r="D453" s="3430"/>
      <c r="E453" s="3156">
        <f t="shared" si="75"/>
        <v>0</v>
      </c>
      <c r="F453" s="3430"/>
      <c r="G453" s="3156">
        <f t="shared" si="76"/>
        <v>1</v>
      </c>
      <c r="H453" s="3430"/>
      <c r="I453" s="3156">
        <f t="shared" si="77"/>
        <v>1</v>
      </c>
      <c r="J453" s="3430"/>
      <c r="K453" s="3156">
        <f t="shared" si="78"/>
        <v>1</v>
      </c>
      <c r="L453" s="3430"/>
      <c r="M453" s="3156">
        <f t="shared" si="79"/>
        <v>1</v>
      </c>
      <c r="N453" s="3430"/>
      <c r="O453" s="3156">
        <f t="shared" si="80"/>
        <v>1</v>
      </c>
      <c r="P453" s="3430"/>
      <c r="Q453" s="3156">
        <f t="shared" si="81"/>
        <v>1</v>
      </c>
      <c r="R453" s="3921">
        <f t="shared" si="82"/>
        <v>0</v>
      </c>
      <c r="S453" s="4017">
        <f t="shared" si="83"/>
        <v>0</v>
      </c>
    </row>
    <row r="454" spans="1:19">
      <c r="A454" s="3157"/>
      <c r="B454" s="3428"/>
      <c r="C454" s="3156">
        <f t="shared" si="74"/>
        <v>1</v>
      </c>
      <c r="D454" s="3430"/>
      <c r="E454" s="3156">
        <f t="shared" si="75"/>
        <v>0</v>
      </c>
      <c r="F454" s="3430"/>
      <c r="G454" s="3156">
        <f t="shared" si="76"/>
        <v>1</v>
      </c>
      <c r="H454" s="3430"/>
      <c r="I454" s="3156">
        <f t="shared" si="77"/>
        <v>1</v>
      </c>
      <c r="J454" s="3430"/>
      <c r="K454" s="3156">
        <f t="shared" si="78"/>
        <v>1</v>
      </c>
      <c r="L454" s="3430"/>
      <c r="M454" s="3156">
        <f t="shared" si="79"/>
        <v>1</v>
      </c>
      <c r="N454" s="3430"/>
      <c r="O454" s="3156">
        <f t="shared" si="80"/>
        <v>1</v>
      </c>
      <c r="P454" s="3430"/>
      <c r="Q454" s="3156">
        <f t="shared" si="81"/>
        <v>1</v>
      </c>
      <c r="R454" s="3921">
        <f t="shared" si="82"/>
        <v>0</v>
      </c>
      <c r="S454" s="4017">
        <f t="shared" si="83"/>
        <v>0</v>
      </c>
    </row>
    <row r="455" spans="1:19">
      <c r="A455" s="3157"/>
      <c r="B455" s="3428"/>
      <c r="C455" s="3156">
        <f t="shared" si="74"/>
        <v>1</v>
      </c>
      <c r="D455" s="3430"/>
      <c r="E455" s="3156">
        <f t="shared" si="75"/>
        <v>0</v>
      </c>
      <c r="F455" s="3430"/>
      <c r="G455" s="3156">
        <f t="shared" si="76"/>
        <v>1</v>
      </c>
      <c r="H455" s="3430"/>
      <c r="I455" s="3156">
        <f t="shared" si="77"/>
        <v>1</v>
      </c>
      <c r="J455" s="3430"/>
      <c r="K455" s="3156">
        <f t="shared" si="78"/>
        <v>1</v>
      </c>
      <c r="L455" s="3430"/>
      <c r="M455" s="3156">
        <f t="shared" si="79"/>
        <v>1</v>
      </c>
      <c r="N455" s="3430"/>
      <c r="O455" s="3156">
        <f t="shared" si="80"/>
        <v>1</v>
      </c>
      <c r="P455" s="3430"/>
      <c r="Q455" s="3156">
        <f t="shared" si="81"/>
        <v>1</v>
      </c>
      <c r="R455" s="3921">
        <f t="shared" si="82"/>
        <v>0</v>
      </c>
      <c r="S455" s="4017">
        <f t="shared" si="83"/>
        <v>0</v>
      </c>
    </row>
    <row r="456" spans="1:19">
      <c r="A456" s="3157"/>
      <c r="B456" s="3428"/>
      <c r="C456" s="3156">
        <f t="shared" si="74"/>
        <v>1</v>
      </c>
      <c r="D456" s="3430"/>
      <c r="E456" s="3156">
        <f t="shared" si="75"/>
        <v>0</v>
      </c>
      <c r="F456" s="3430"/>
      <c r="G456" s="3156">
        <f t="shared" si="76"/>
        <v>1</v>
      </c>
      <c r="H456" s="3430"/>
      <c r="I456" s="3156">
        <f t="shared" si="77"/>
        <v>1</v>
      </c>
      <c r="J456" s="3430"/>
      <c r="K456" s="3156">
        <f t="shared" si="78"/>
        <v>1</v>
      </c>
      <c r="L456" s="3430"/>
      <c r="M456" s="3156">
        <f t="shared" si="79"/>
        <v>1</v>
      </c>
      <c r="N456" s="3430"/>
      <c r="O456" s="3156">
        <f t="shared" si="80"/>
        <v>1</v>
      </c>
      <c r="P456" s="3430"/>
      <c r="Q456" s="3156">
        <f t="shared" si="81"/>
        <v>1</v>
      </c>
      <c r="R456" s="3921">
        <f t="shared" si="82"/>
        <v>0</v>
      </c>
      <c r="S456" s="4017">
        <f t="shared" si="83"/>
        <v>0</v>
      </c>
    </row>
    <row r="457" spans="1:19">
      <c r="A457" s="3157"/>
      <c r="B457" s="3428"/>
      <c r="C457" s="3156">
        <f t="shared" si="74"/>
        <v>1</v>
      </c>
      <c r="D457" s="3430"/>
      <c r="E457" s="3156">
        <f t="shared" si="75"/>
        <v>0</v>
      </c>
      <c r="F457" s="3430"/>
      <c r="G457" s="3156">
        <f t="shared" si="76"/>
        <v>1</v>
      </c>
      <c r="H457" s="3430"/>
      <c r="I457" s="3156">
        <f t="shared" si="77"/>
        <v>1</v>
      </c>
      <c r="J457" s="3430"/>
      <c r="K457" s="3156">
        <f t="shared" si="78"/>
        <v>1</v>
      </c>
      <c r="L457" s="3430"/>
      <c r="M457" s="3156">
        <f t="shared" si="79"/>
        <v>1</v>
      </c>
      <c r="N457" s="3430"/>
      <c r="O457" s="3156">
        <f t="shared" si="80"/>
        <v>1</v>
      </c>
      <c r="P457" s="3430"/>
      <c r="Q457" s="3156">
        <f t="shared" si="81"/>
        <v>1</v>
      </c>
      <c r="R457" s="3921">
        <f t="shared" si="82"/>
        <v>0</v>
      </c>
      <c r="S457" s="4017">
        <f t="shared" si="83"/>
        <v>0</v>
      </c>
    </row>
    <row r="458" spans="1:19">
      <c r="A458" s="3157"/>
      <c r="B458" s="3428"/>
      <c r="C458" s="3156">
        <f t="shared" si="74"/>
        <v>1</v>
      </c>
      <c r="D458" s="3430"/>
      <c r="E458" s="3156">
        <f t="shared" si="75"/>
        <v>0</v>
      </c>
      <c r="F458" s="3430"/>
      <c r="G458" s="3156">
        <f t="shared" si="76"/>
        <v>1</v>
      </c>
      <c r="H458" s="3430"/>
      <c r="I458" s="3156">
        <f t="shared" si="77"/>
        <v>1</v>
      </c>
      <c r="J458" s="3430"/>
      <c r="K458" s="3156">
        <f t="shared" si="78"/>
        <v>1</v>
      </c>
      <c r="L458" s="3430"/>
      <c r="M458" s="3156">
        <f t="shared" si="79"/>
        <v>1</v>
      </c>
      <c r="N458" s="3430"/>
      <c r="O458" s="3156">
        <f t="shared" si="80"/>
        <v>1</v>
      </c>
      <c r="P458" s="3430"/>
      <c r="Q458" s="3156">
        <f t="shared" si="81"/>
        <v>1</v>
      </c>
      <c r="R458" s="3921">
        <f t="shared" si="82"/>
        <v>0</v>
      </c>
      <c r="S458" s="4017">
        <f t="shared" si="83"/>
        <v>0</v>
      </c>
    </row>
    <row r="459" spans="1:19">
      <c r="A459" s="3157"/>
      <c r="B459" s="3428"/>
      <c r="C459" s="3156">
        <f t="shared" si="74"/>
        <v>1</v>
      </c>
      <c r="D459" s="3430"/>
      <c r="E459" s="3156">
        <f t="shared" si="75"/>
        <v>0</v>
      </c>
      <c r="F459" s="3430"/>
      <c r="G459" s="3156">
        <f t="shared" si="76"/>
        <v>1</v>
      </c>
      <c r="H459" s="3430"/>
      <c r="I459" s="3156">
        <f t="shared" si="77"/>
        <v>1</v>
      </c>
      <c r="J459" s="3430"/>
      <c r="K459" s="3156">
        <f t="shared" si="78"/>
        <v>1</v>
      </c>
      <c r="L459" s="3430"/>
      <c r="M459" s="3156">
        <f t="shared" si="79"/>
        <v>1</v>
      </c>
      <c r="N459" s="3430"/>
      <c r="O459" s="3156">
        <f t="shared" si="80"/>
        <v>1</v>
      </c>
      <c r="P459" s="3430"/>
      <c r="Q459" s="3156">
        <f t="shared" si="81"/>
        <v>1</v>
      </c>
      <c r="R459" s="3921">
        <f t="shared" si="82"/>
        <v>0</v>
      </c>
      <c r="S459" s="4017">
        <f t="shared" si="83"/>
        <v>0</v>
      </c>
    </row>
    <row r="460" spans="1:19">
      <c r="A460" s="3157"/>
      <c r="B460" s="3428"/>
      <c r="C460" s="3156">
        <f t="shared" si="74"/>
        <v>1</v>
      </c>
      <c r="D460" s="3430"/>
      <c r="E460" s="3156">
        <f t="shared" si="75"/>
        <v>0</v>
      </c>
      <c r="F460" s="3430"/>
      <c r="G460" s="3156">
        <f t="shared" si="76"/>
        <v>1</v>
      </c>
      <c r="H460" s="3430"/>
      <c r="I460" s="3156">
        <f t="shared" si="77"/>
        <v>1</v>
      </c>
      <c r="J460" s="3430"/>
      <c r="K460" s="3156">
        <f t="shared" si="78"/>
        <v>1</v>
      </c>
      <c r="L460" s="3430"/>
      <c r="M460" s="3156">
        <f t="shared" si="79"/>
        <v>1</v>
      </c>
      <c r="N460" s="3430"/>
      <c r="O460" s="3156">
        <f t="shared" si="80"/>
        <v>1</v>
      </c>
      <c r="P460" s="3430"/>
      <c r="Q460" s="3156">
        <f t="shared" si="81"/>
        <v>1</v>
      </c>
      <c r="R460" s="3921">
        <f t="shared" si="82"/>
        <v>0</v>
      </c>
      <c r="S460" s="4017">
        <f t="shared" si="83"/>
        <v>0</v>
      </c>
    </row>
    <row r="461" spans="1:19">
      <c r="A461" s="3157"/>
      <c r="B461" s="3428"/>
      <c r="C461" s="3156">
        <f t="shared" si="74"/>
        <v>1</v>
      </c>
      <c r="D461" s="3430"/>
      <c r="E461" s="3156">
        <f t="shared" si="75"/>
        <v>0</v>
      </c>
      <c r="F461" s="3430"/>
      <c r="G461" s="3156">
        <f t="shared" si="76"/>
        <v>1</v>
      </c>
      <c r="H461" s="3430"/>
      <c r="I461" s="3156">
        <f t="shared" si="77"/>
        <v>1</v>
      </c>
      <c r="J461" s="3430"/>
      <c r="K461" s="3156">
        <f t="shared" si="78"/>
        <v>1</v>
      </c>
      <c r="L461" s="3430"/>
      <c r="M461" s="3156">
        <f t="shared" si="79"/>
        <v>1</v>
      </c>
      <c r="N461" s="3430"/>
      <c r="O461" s="3156">
        <f t="shared" si="80"/>
        <v>1</v>
      </c>
      <c r="P461" s="3430"/>
      <c r="Q461" s="3156">
        <f t="shared" si="81"/>
        <v>1</v>
      </c>
      <c r="R461" s="3921">
        <f t="shared" si="82"/>
        <v>0</v>
      </c>
      <c r="S461" s="4017">
        <f t="shared" si="83"/>
        <v>0</v>
      </c>
    </row>
    <row r="462" spans="1:19">
      <c r="A462" s="3157"/>
      <c r="B462" s="3428"/>
      <c r="C462" s="3156">
        <f t="shared" si="74"/>
        <v>1</v>
      </c>
      <c r="D462" s="3430"/>
      <c r="E462" s="3156">
        <f t="shared" si="75"/>
        <v>0</v>
      </c>
      <c r="F462" s="3430"/>
      <c r="G462" s="3156">
        <f t="shared" si="76"/>
        <v>1</v>
      </c>
      <c r="H462" s="3430"/>
      <c r="I462" s="3156">
        <f t="shared" si="77"/>
        <v>1</v>
      </c>
      <c r="J462" s="3430"/>
      <c r="K462" s="3156">
        <f t="shared" si="78"/>
        <v>1</v>
      </c>
      <c r="L462" s="3430"/>
      <c r="M462" s="3156">
        <f t="shared" si="79"/>
        <v>1</v>
      </c>
      <c r="N462" s="3430"/>
      <c r="O462" s="3156">
        <f t="shared" si="80"/>
        <v>1</v>
      </c>
      <c r="P462" s="3430"/>
      <c r="Q462" s="3156">
        <f t="shared" si="81"/>
        <v>1</v>
      </c>
      <c r="R462" s="3921">
        <f t="shared" si="82"/>
        <v>0</v>
      </c>
      <c r="S462" s="4017">
        <f t="shared" si="83"/>
        <v>0</v>
      </c>
    </row>
    <row r="463" spans="1:19">
      <c r="A463" s="3157"/>
      <c r="B463" s="3428"/>
      <c r="C463" s="3156">
        <f t="shared" si="74"/>
        <v>1</v>
      </c>
      <c r="D463" s="3430"/>
      <c r="E463" s="3156">
        <f t="shared" si="75"/>
        <v>0</v>
      </c>
      <c r="F463" s="3430"/>
      <c r="G463" s="3156">
        <f t="shared" si="76"/>
        <v>1</v>
      </c>
      <c r="H463" s="3430"/>
      <c r="I463" s="3156">
        <f t="shared" si="77"/>
        <v>1</v>
      </c>
      <c r="J463" s="3430"/>
      <c r="K463" s="3156">
        <f t="shared" si="78"/>
        <v>1</v>
      </c>
      <c r="L463" s="3430"/>
      <c r="M463" s="3156">
        <f t="shared" si="79"/>
        <v>1</v>
      </c>
      <c r="N463" s="3430"/>
      <c r="O463" s="3156">
        <f t="shared" si="80"/>
        <v>1</v>
      </c>
      <c r="P463" s="3430"/>
      <c r="Q463" s="3156">
        <f t="shared" si="81"/>
        <v>1</v>
      </c>
      <c r="R463" s="3921">
        <f t="shared" si="82"/>
        <v>0</v>
      </c>
      <c r="S463" s="4017">
        <f t="shared" si="83"/>
        <v>0</v>
      </c>
    </row>
    <row r="464" spans="1:19">
      <c r="A464" s="3157"/>
      <c r="B464" s="3428"/>
      <c r="C464" s="3156">
        <f t="shared" si="74"/>
        <v>1</v>
      </c>
      <c r="D464" s="3430"/>
      <c r="E464" s="3156">
        <f t="shared" si="75"/>
        <v>0</v>
      </c>
      <c r="F464" s="3430"/>
      <c r="G464" s="3156">
        <f t="shared" si="76"/>
        <v>1</v>
      </c>
      <c r="H464" s="3430"/>
      <c r="I464" s="3156">
        <f t="shared" si="77"/>
        <v>1</v>
      </c>
      <c r="J464" s="3430"/>
      <c r="K464" s="3156">
        <f t="shared" si="78"/>
        <v>1</v>
      </c>
      <c r="L464" s="3430"/>
      <c r="M464" s="3156">
        <f t="shared" si="79"/>
        <v>1</v>
      </c>
      <c r="N464" s="3430"/>
      <c r="O464" s="3156">
        <f t="shared" si="80"/>
        <v>1</v>
      </c>
      <c r="P464" s="3430"/>
      <c r="Q464" s="3156">
        <f t="shared" si="81"/>
        <v>1</v>
      </c>
      <c r="R464" s="3921">
        <f t="shared" si="82"/>
        <v>0</v>
      </c>
      <c r="S464" s="4017">
        <f t="shared" si="83"/>
        <v>0</v>
      </c>
    </row>
    <row r="465" spans="1:19">
      <c r="A465" s="3157"/>
      <c r="B465" s="3428"/>
      <c r="C465" s="3156">
        <f t="shared" si="74"/>
        <v>1</v>
      </c>
      <c r="D465" s="3430"/>
      <c r="E465" s="3156">
        <f t="shared" si="75"/>
        <v>0</v>
      </c>
      <c r="F465" s="3430"/>
      <c r="G465" s="3156">
        <f t="shared" si="76"/>
        <v>1</v>
      </c>
      <c r="H465" s="3430"/>
      <c r="I465" s="3156">
        <f t="shared" si="77"/>
        <v>1</v>
      </c>
      <c r="J465" s="3430"/>
      <c r="K465" s="3156">
        <f t="shared" si="78"/>
        <v>1</v>
      </c>
      <c r="L465" s="3430"/>
      <c r="M465" s="3156">
        <f t="shared" si="79"/>
        <v>1</v>
      </c>
      <c r="N465" s="3430"/>
      <c r="O465" s="3156">
        <f t="shared" si="80"/>
        <v>1</v>
      </c>
      <c r="P465" s="3430"/>
      <c r="Q465" s="3156">
        <f t="shared" si="81"/>
        <v>1</v>
      </c>
      <c r="R465" s="3921">
        <f t="shared" si="82"/>
        <v>0</v>
      </c>
      <c r="S465" s="4017">
        <f t="shared" si="83"/>
        <v>0</v>
      </c>
    </row>
    <row r="466" spans="1:19">
      <c r="A466" s="3157"/>
      <c r="B466" s="3428"/>
      <c r="C466" s="3156">
        <f t="shared" si="74"/>
        <v>1</v>
      </c>
      <c r="D466" s="3430"/>
      <c r="E466" s="3156">
        <f t="shared" si="75"/>
        <v>0</v>
      </c>
      <c r="F466" s="3430"/>
      <c r="G466" s="3156">
        <f t="shared" si="76"/>
        <v>1</v>
      </c>
      <c r="H466" s="3430"/>
      <c r="I466" s="3156">
        <f t="shared" si="77"/>
        <v>1</v>
      </c>
      <c r="J466" s="3430"/>
      <c r="K466" s="3156">
        <f t="shared" si="78"/>
        <v>1</v>
      </c>
      <c r="L466" s="3430"/>
      <c r="M466" s="3156">
        <f t="shared" si="79"/>
        <v>1</v>
      </c>
      <c r="N466" s="3430"/>
      <c r="O466" s="3156">
        <f t="shared" si="80"/>
        <v>1</v>
      </c>
      <c r="P466" s="3430"/>
      <c r="Q466" s="3156">
        <f t="shared" si="81"/>
        <v>1</v>
      </c>
      <c r="R466" s="3921">
        <f t="shared" si="82"/>
        <v>0</v>
      </c>
      <c r="S466" s="4017">
        <f t="shared" si="83"/>
        <v>0</v>
      </c>
    </row>
    <row r="467" spans="1:19">
      <c r="A467" s="3157"/>
      <c r="B467" s="3428"/>
      <c r="C467" s="3156">
        <f t="shared" si="74"/>
        <v>1</v>
      </c>
      <c r="D467" s="3430"/>
      <c r="E467" s="3156">
        <f t="shared" si="75"/>
        <v>0</v>
      </c>
      <c r="F467" s="3430"/>
      <c r="G467" s="3156">
        <f t="shared" si="76"/>
        <v>1</v>
      </c>
      <c r="H467" s="3430"/>
      <c r="I467" s="3156">
        <f t="shared" si="77"/>
        <v>1</v>
      </c>
      <c r="J467" s="3430"/>
      <c r="K467" s="3156">
        <f t="shared" si="78"/>
        <v>1</v>
      </c>
      <c r="L467" s="3430"/>
      <c r="M467" s="3156">
        <f t="shared" si="79"/>
        <v>1</v>
      </c>
      <c r="N467" s="3430"/>
      <c r="O467" s="3156">
        <f t="shared" si="80"/>
        <v>1</v>
      </c>
      <c r="P467" s="3430"/>
      <c r="Q467" s="3156">
        <f t="shared" si="81"/>
        <v>1</v>
      </c>
      <c r="R467" s="3921">
        <f t="shared" si="82"/>
        <v>0</v>
      </c>
      <c r="S467" s="4017">
        <f t="shared" si="83"/>
        <v>0</v>
      </c>
    </row>
    <row r="468" spans="1:19">
      <c r="A468" s="3157"/>
      <c r="B468" s="3428"/>
      <c r="C468" s="3156">
        <f t="shared" si="74"/>
        <v>1</v>
      </c>
      <c r="D468" s="3430"/>
      <c r="E468" s="3156">
        <f t="shared" si="75"/>
        <v>0</v>
      </c>
      <c r="F468" s="3430"/>
      <c r="G468" s="3156">
        <f t="shared" si="76"/>
        <v>1</v>
      </c>
      <c r="H468" s="3430"/>
      <c r="I468" s="3156">
        <f t="shared" si="77"/>
        <v>1</v>
      </c>
      <c r="J468" s="3430"/>
      <c r="K468" s="3156">
        <f t="shared" si="78"/>
        <v>1</v>
      </c>
      <c r="L468" s="3430"/>
      <c r="M468" s="3156">
        <f t="shared" si="79"/>
        <v>1</v>
      </c>
      <c r="N468" s="3430"/>
      <c r="O468" s="3156">
        <f t="shared" si="80"/>
        <v>1</v>
      </c>
      <c r="P468" s="3430"/>
      <c r="Q468" s="3156">
        <f t="shared" si="81"/>
        <v>1</v>
      </c>
      <c r="R468" s="3921">
        <f t="shared" si="82"/>
        <v>0</v>
      </c>
      <c r="S468" s="4017">
        <f t="shared" ref="S468:S497" si="84">ROUND(R468*B468/10000,0)</f>
        <v>0</v>
      </c>
    </row>
    <row r="469" spans="1:19">
      <c r="A469" s="3157"/>
      <c r="B469" s="3428"/>
      <c r="C469" s="3156">
        <f t="shared" si="74"/>
        <v>1</v>
      </c>
      <c r="D469" s="3430"/>
      <c r="E469" s="3156">
        <f t="shared" si="75"/>
        <v>0</v>
      </c>
      <c r="F469" s="3430"/>
      <c r="G469" s="3156">
        <f t="shared" si="76"/>
        <v>1</v>
      </c>
      <c r="H469" s="3430"/>
      <c r="I469" s="3156">
        <f t="shared" si="77"/>
        <v>1</v>
      </c>
      <c r="J469" s="3430"/>
      <c r="K469" s="3156">
        <f t="shared" si="78"/>
        <v>1</v>
      </c>
      <c r="L469" s="3430"/>
      <c r="M469" s="3156">
        <f t="shared" si="79"/>
        <v>1</v>
      </c>
      <c r="N469" s="3430"/>
      <c r="O469" s="3156">
        <f t="shared" si="80"/>
        <v>1</v>
      </c>
      <c r="P469" s="3430"/>
      <c r="Q469" s="3156">
        <f t="shared" si="81"/>
        <v>1</v>
      </c>
      <c r="R469" s="3921">
        <f t="shared" si="82"/>
        <v>0</v>
      </c>
      <c r="S469" s="4017">
        <f t="shared" si="84"/>
        <v>0</v>
      </c>
    </row>
    <row r="470" spans="1:19">
      <c r="A470" s="3157"/>
      <c r="B470" s="3428"/>
      <c r="C470" s="3156">
        <f t="shared" si="74"/>
        <v>1</v>
      </c>
      <c r="D470" s="3430"/>
      <c r="E470" s="3156">
        <f t="shared" si="75"/>
        <v>0</v>
      </c>
      <c r="F470" s="3430"/>
      <c r="G470" s="3156">
        <f t="shared" si="76"/>
        <v>1</v>
      </c>
      <c r="H470" s="3430"/>
      <c r="I470" s="3156">
        <f t="shared" si="77"/>
        <v>1</v>
      </c>
      <c r="J470" s="3430"/>
      <c r="K470" s="3156">
        <f t="shared" si="78"/>
        <v>1</v>
      </c>
      <c r="L470" s="3430"/>
      <c r="M470" s="3156">
        <f t="shared" si="79"/>
        <v>1</v>
      </c>
      <c r="N470" s="3430"/>
      <c r="O470" s="3156">
        <f t="shared" si="80"/>
        <v>1</v>
      </c>
      <c r="P470" s="3430"/>
      <c r="Q470" s="3156">
        <f t="shared" si="81"/>
        <v>1</v>
      </c>
      <c r="R470" s="3921">
        <f t="shared" si="82"/>
        <v>0</v>
      </c>
      <c r="S470" s="4017">
        <f t="shared" si="84"/>
        <v>0</v>
      </c>
    </row>
    <row r="471" spans="1:19">
      <c r="A471" s="3157"/>
      <c r="B471" s="3428"/>
      <c r="C471" s="3156">
        <f t="shared" si="74"/>
        <v>1</v>
      </c>
      <c r="D471" s="3430"/>
      <c r="E471" s="3156">
        <f t="shared" si="75"/>
        <v>0</v>
      </c>
      <c r="F471" s="3430"/>
      <c r="G471" s="3156">
        <f t="shared" si="76"/>
        <v>1</v>
      </c>
      <c r="H471" s="3430"/>
      <c r="I471" s="3156">
        <f t="shared" si="77"/>
        <v>1</v>
      </c>
      <c r="J471" s="3430"/>
      <c r="K471" s="3156">
        <f t="shared" si="78"/>
        <v>1</v>
      </c>
      <c r="L471" s="3430"/>
      <c r="M471" s="3156">
        <f t="shared" si="79"/>
        <v>1</v>
      </c>
      <c r="N471" s="3430"/>
      <c r="O471" s="3156">
        <f t="shared" si="80"/>
        <v>1</v>
      </c>
      <c r="P471" s="3430"/>
      <c r="Q471" s="3156">
        <f t="shared" si="81"/>
        <v>1</v>
      </c>
      <c r="R471" s="3921">
        <f t="shared" si="82"/>
        <v>0</v>
      </c>
      <c r="S471" s="4017">
        <f t="shared" si="84"/>
        <v>0</v>
      </c>
    </row>
    <row r="472" spans="1:19">
      <c r="A472" s="3157"/>
      <c r="B472" s="3428"/>
      <c r="C472" s="3156">
        <f t="shared" si="74"/>
        <v>1</v>
      </c>
      <c r="D472" s="3430"/>
      <c r="E472" s="3156">
        <f t="shared" si="75"/>
        <v>0</v>
      </c>
      <c r="F472" s="3430"/>
      <c r="G472" s="3156">
        <f t="shared" si="76"/>
        <v>1</v>
      </c>
      <c r="H472" s="3430"/>
      <c r="I472" s="3156">
        <f t="shared" si="77"/>
        <v>1</v>
      </c>
      <c r="J472" s="3430"/>
      <c r="K472" s="3156">
        <f t="shared" si="78"/>
        <v>1</v>
      </c>
      <c r="L472" s="3430"/>
      <c r="M472" s="3156">
        <f t="shared" si="79"/>
        <v>1</v>
      </c>
      <c r="N472" s="3430"/>
      <c r="O472" s="3156">
        <f t="shared" si="80"/>
        <v>1</v>
      </c>
      <c r="P472" s="3430"/>
      <c r="Q472" s="3156">
        <f t="shared" si="81"/>
        <v>1</v>
      </c>
      <c r="R472" s="3921">
        <f t="shared" si="82"/>
        <v>0</v>
      </c>
      <c r="S472" s="4017">
        <f t="shared" si="84"/>
        <v>0</v>
      </c>
    </row>
    <row r="473" spans="1:19">
      <c r="A473" s="3157"/>
      <c r="B473" s="3428"/>
      <c r="C473" s="3156">
        <f t="shared" si="74"/>
        <v>1</v>
      </c>
      <c r="D473" s="3430"/>
      <c r="E473" s="3156">
        <f t="shared" si="75"/>
        <v>0</v>
      </c>
      <c r="F473" s="3430"/>
      <c r="G473" s="3156">
        <f t="shared" si="76"/>
        <v>1</v>
      </c>
      <c r="H473" s="3430"/>
      <c r="I473" s="3156">
        <f t="shared" si="77"/>
        <v>1</v>
      </c>
      <c r="J473" s="3430"/>
      <c r="K473" s="3156">
        <f t="shared" si="78"/>
        <v>1</v>
      </c>
      <c r="L473" s="3430"/>
      <c r="M473" s="3156">
        <f t="shared" si="79"/>
        <v>1</v>
      </c>
      <c r="N473" s="3430"/>
      <c r="O473" s="3156">
        <f t="shared" si="80"/>
        <v>1</v>
      </c>
      <c r="P473" s="3430"/>
      <c r="Q473" s="3156">
        <f t="shared" si="81"/>
        <v>1</v>
      </c>
      <c r="R473" s="3921">
        <f t="shared" si="82"/>
        <v>0</v>
      </c>
      <c r="S473" s="4017">
        <f t="shared" si="84"/>
        <v>0</v>
      </c>
    </row>
    <row r="474" spans="1:19">
      <c r="A474" s="3157"/>
      <c r="B474" s="3428"/>
      <c r="C474" s="3156">
        <f t="shared" ref="C474:C524" si="85">IF(B474="",1,(LOOKUP(B474,$3:$3,$4:$4)-LOOKUP($B$24,$3:$3,$4:$4)+100)/100)</f>
        <v>1</v>
      </c>
      <c r="D474" s="3430"/>
      <c r="E474" s="3156">
        <f t="shared" ref="E474:E524" si="86">(SUMIF($5:$5,D474,$6:$6)-SUMIF($5:$5,$D$24,$6:$6)+100)/100</f>
        <v>0</v>
      </c>
      <c r="F474" s="3430"/>
      <c r="G474" s="3156">
        <f t="shared" ref="G474:G524" si="87">(SUMIF($7:$7,F474,$8:$8)-SUMIF($7:$7,$F$24,$8:$8)+100)/100</f>
        <v>1</v>
      </c>
      <c r="H474" s="3430"/>
      <c r="I474" s="3156">
        <f t="shared" ref="I474:I524" si="88">(SUMIF($9:$9,H474,$10:$10)-SUMIF($9:$9,$H$24,$10:$10)+100)/100</f>
        <v>1</v>
      </c>
      <c r="J474" s="3430"/>
      <c r="K474" s="3156">
        <f t="shared" ref="K474:K524" si="89">(SUMIF($11:$11,J474,$12:$12)-SUMIF($11:$11,$J$24,$12:$12)+100)/100</f>
        <v>1</v>
      </c>
      <c r="L474" s="3430"/>
      <c r="M474" s="3156">
        <f t="shared" ref="M474:M524" si="90">(SUMIF($13:$13,L474,$14:$14)-SUMIF($13:$13,$L$24,$14:$14)+100)/100</f>
        <v>1</v>
      </c>
      <c r="N474" s="3430"/>
      <c r="O474" s="3156">
        <f t="shared" ref="O474:O524" si="91">(SUMIF($15:$15,N474,$16:$16)-SUMIF($15:$15,$N$24,$16:$16)+100)/100</f>
        <v>1</v>
      </c>
      <c r="P474" s="3430"/>
      <c r="Q474" s="3156">
        <f t="shared" ref="Q474:Q524" si="92">(SUMIF($17:$17,P474,$18:$18)-SUMIF($17:$17,$P$24,$18:$18)+100)/100</f>
        <v>1</v>
      </c>
      <c r="R474" s="3921">
        <f t="shared" ref="R474:R524" si="93">IF(B474="",0,ROUND($R$24*C474*E474*G474*I474*K474*M474*O474*Q474,0))</f>
        <v>0</v>
      </c>
      <c r="S474" s="4017">
        <f t="shared" si="84"/>
        <v>0</v>
      </c>
    </row>
    <row r="475" spans="1:19">
      <c r="A475" s="3157"/>
      <c r="B475" s="3428"/>
      <c r="C475" s="3156">
        <f t="shared" si="85"/>
        <v>1</v>
      </c>
      <c r="D475" s="3430"/>
      <c r="E475" s="3156">
        <f t="shared" si="86"/>
        <v>0</v>
      </c>
      <c r="F475" s="3430"/>
      <c r="G475" s="3156">
        <f t="shared" si="87"/>
        <v>1</v>
      </c>
      <c r="H475" s="3430"/>
      <c r="I475" s="3156">
        <f t="shared" si="88"/>
        <v>1</v>
      </c>
      <c r="J475" s="3430"/>
      <c r="K475" s="3156">
        <f t="shared" si="89"/>
        <v>1</v>
      </c>
      <c r="L475" s="3430"/>
      <c r="M475" s="3156">
        <f t="shared" si="90"/>
        <v>1</v>
      </c>
      <c r="N475" s="3430"/>
      <c r="O475" s="3156">
        <f t="shared" si="91"/>
        <v>1</v>
      </c>
      <c r="P475" s="3430"/>
      <c r="Q475" s="3156">
        <f t="shared" si="92"/>
        <v>1</v>
      </c>
      <c r="R475" s="3921">
        <f t="shared" si="93"/>
        <v>0</v>
      </c>
      <c r="S475" s="4017">
        <f t="shared" si="84"/>
        <v>0</v>
      </c>
    </row>
    <row r="476" spans="1:19">
      <c r="A476" s="3157"/>
      <c r="B476" s="3428"/>
      <c r="C476" s="3156">
        <f t="shared" si="85"/>
        <v>1</v>
      </c>
      <c r="D476" s="3430"/>
      <c r="E476" s="3156">
        <f t="shared" si="86"/>
        <v>0</v>
      </c>
      <c r="F476" s="3430"/>
      <c r="G476" s="3156">
        <f t="shared" si="87"/>
        <v>1</v>
      </c>
      <c r="H476" s="3430"/>
      <c r="I476" s="3156">
        <f t="shared" si="88"/>
        <v>1</v>
      </c>
      <c r="J476" s="3430"/>
      <c r="K476" s="3156">
        <f t="shared" si="89"/>
        <v>1</v>
      </c>
      <c r="L476" s="3430"/>
      <c r="M476" s="3156">
        <f t="shared" si="90"/>
        <v>1</v>
      </c>
      <c r="N476" s="3430"/>
      <c r="O476" s="3156">
        <f t="shared" si="91"/>
        <v>1</v>
      </c>
      <c r="P476" s="3430"/>
      <c r="Q476" s="3156">
        <f t="shared" si="92"/>
        <v>1</v>
      </c>
      <c r="R476" s="3921">
        <f t="shared" si="93"/>
        <v>0</v>
      </c>
      <c r="S476" s="4017">
        <f t="shared" si="84"/>
        <v>0</v>
      </c>
    </row>
    <row r="477" spans="1:19">
      <c r="A477" s="3157"/>
      <c r="B477" s="3428"/>
      <c r="C477" s="3156">
        <f t="shared" si="85"/>
        <v>1</v>
      </c>
      <c r="D477" s="3430"/>
      <c r="E477" s="3156">
        <f t="shared" si="86"/>
        <v>0</v>
      </c>
      <c r="F477" s="3430"/>
      <c r="G477" s="3156">
        <f t="shared" si="87"/>
        <v>1</v>
      </c>
      <c r="H477" s="3430"/>
      <c r="I477" s="3156">
        <f t="shared" si="88"/>
        <v>1</v>
      </c>
      <c r="J477" s="3430"/>
      <c r="K477" s="3156">
        <f t="shared" si="89"/>
        <v>1</v>
      </c>
      <c r="L477" s="3430"/>
      <c r="M477" s="3156">
        <f t="shared" si="90"/>
        <v>1</v>
      </c>
      <c r="N477" s="3430"/>
      <c r="O477" s="3156">
        <f t="shared" si="91"/>
        <v>1</v>
      </c>
      <c r="P477" s="3430"/>
      <c r="Q477" s="3156">
        <f t="shared" si="92"/>
        <v>1</v>
      </c>
      <c r="R477" s="3921">
        <f t="shared" si="93"/>
        <v>0</v>
      </c>
      <c r="S477" s="4017">
        <f t="shared" si="84"/>
        <v>0</v>
      </c>
    </row>
    <row r="478" spans="1:19">
      <c r="A478" s="3157"/>
      <c r="B478" s="3428"/>
      <c r="C478" s="3156">
        <f t="shared" si="85"/>
        <v>1</v>
      </c>
      <c r="D478" s="3430"/>
      <c r="E478" s="3156">
        <f t="shared" si="86"/>
        <v>0</v>
      </c>
      <c r="F478" s="3430"/>
      <c r="G478" s="3156">
        <f t="shared" si="87"/>
        <v>1</v>
      </c>
      <c r="H478" s="3430"/>
      <c r="I478" s="3156">
        <f t="shared" si="88"/>
        <v>1</v>
      </c>
      <c r="J478" s="3430"/>
      <c r="K478" s="3156">
        <f t="shared" si="89"/>
        <v>1</v>
      </c>
      <c r="L478" s="3430"/>
      <c r="M478" s="3156">
        <f t="shared" si="90"/>
        <v>1</v>
      </c>
      <c r="N478" s="3430"/>
      <c r="O478" s="3156">
        <f t="shared" si="91"/>
        <v>1</v>
      </c>
      <c r="P478" s="3430"/>
      <c r="Q478" s="3156">
        <f t="shared" si="92"/>
        <v>1</v>
      </c>
      <c r="R478" s="3921">
        <f t="shared" si="93"/>
        <v>0</v>
      </c>
      <c r="S478" s="4017">
        <f t="shared" si="84"/>
        <v>0</v>
      </c>
    </row>
    <row r="479" spans="1:19">
      <c r="A479" s="3157"/>
      <c r="B479" s="3428"/>
      <c r="C479" s="3156">
        <f t="shared" si="85"/>
        <v>1</v>
      </c>
      <c r="D479" s="3430"/>
      <c r="E479" s="3156">
        <f t="shared" si="86"/>
        <v>0</v>
      </c>
      <c r="F479" s="3430"/>
      <c r="G479" s="3156">
        <f t="shared" si="87"/>
        <v>1</v>
      </c>
      <c r="H479" s="3430"/>
      <c r="I479" s="3156">
        <f t="shared" si="88"/>
        <v>1</v>
      </c>
      <c r="J479" s="3430"/>
      <c r="K479" s="3156">
        <f t="shared" si="89"/>
        <v>1</v>
      </c>
      <c r="L479" s="3430"/>
      <c r="M479" s="3156">
        <f t="shared" si="90"/>
        <v>1</v>
      </c>
      <c r="N479" s="3430"/>
      <c r="O479" s="3156">
        <f t="shared" si="91"/>
        <v>1</v>
      </c>
      <c r="P479" s="3430"/>
      <c r="Q479" s="3156">
        <f t="shared" si="92"/>
        <v>1</v>
      </c>
      <c r="R479" s="3921">
        <f t="shared" si="93"/>
        <v>0</v>
      </c>
      <c r="S479" s="4017">
        <f t="shared" si="84"/>
        <v>0</v>
      </c>
    </row>
    <row r="480" spans="1:19">
      <c r="A480" s="3157"/>
      <c r="B480" s="3428"/>
      <c r="C480" s="3156">
        <f t="shared" si="85"/>
        <v>1</v>
      </c>
      <c r="D480" s="3430"/>
      <c r="E480" s="3156">
        <f t="shared" si="86"/>
        <v>0</v>
      </c>
      <c r="F480" s="3430"/>
      <c r="G480" s="3156">
        <f t="shared" si="87"/>
        <v>1</v>
      </c>
      <c r="H480" s="3430"/>
      <c r="I480" s="3156">
        <f t="shared" si="88"/>
        <v>1</v>
      </c>
      <c r="J480" s="3430"/>
      <c r="K480" s="3156">
        <f t="shared" si="89"/>
        <v>1</v>
      </c>
      <c r="L480" s="3430"/>
      <c r="M480" s="3156">
        <f t="shared" si="90"/>
        <v>1</v>
      </c>
      <c r="N480" s="3430"/>
      <c r="O480" s="3156">
        <f t="shared" si="91"/>
        <v>1</v>
      </c>
      <c r="P480" s="3430"/>
      <c r="Q480" s="3156">
        <f t="shared" si="92"/>
        <v>1</v>
      </c>
      <c r="R480" s="3921">
        <f t="shared" si="93"/>
        <v>0</v>
      </c>
      <c r="S480" s="4017">
        <f t="shared" si="84"/>
        <v>0</v>
      </c>
    </row>
    <row r="481" spans="1:19">
      <c r="A481" s="3157"/>
      <c r="B481" s="3428"/>
      <c r="C481" s="3156">
        <f t="shared" si="85"/>
        <v>1</v>
      </c>
      <c r="D481" s="3430"/>
      <c r="E481" s="3156">
        <f t="shared" si="86"/>
        <v>0</v>
      </c>
      <c r="F481" s="3430"/>
      <c r="G481" s="3156">
        <f t="shared" si="87"/>
        <v>1</v>
      </c>
      <c r="H481" s="3430"/>
      <c r="I481" s="3156">
        <f t="shared" si="88"/>
        <v>1</v>
      </c>
      <c r="J481" s="3430"/>
      <c r="K481" s="3156">
        <f t="shared" si="89"/>
        <v>1</v>
      </c>
      <c r="L481" s="3430"/>
      <c r="M481" s="3156">
        <f t="shared" si="90"/>
        <v>1</v>
      </c>
      <c r="N481" s="3430"/>
      <c r="O481" s="3156">
        <f t="shared" si="91"/>
        <v>1</v>
      </c>
      <c r="P481" s="3430"/>
      <c r="Q481" s="3156">
        <f t="shared" si="92"/>
        <v>1</v>
      </c>
      <c r="R481" s="3921">
        <f t="shared" si="93"/>
        <v>0</v>
      </c>
      <c r="S481" s="4017">
        <f t="shared" si="84"/>
        <v>0</v>
      </c>
    </row>
    <row r="482" spans="1:19">
      <c r="A482" s="3157"/>
      <c r="B482" s="3428"/>
      <c r="C482" s="3156">
        <f t="shared" si="85"/>
        <v>1</v>
      </c>
      <c r="D482" s="3430"/>
      <c r="E482" s="3156">
        <f t="shared" si="86"/>
        <v>0</v>
      </c>
      <c r="F482" s="3430"/>
      <c r="G482" s="3156">
        <f t="shared" si="87"/>
        <v>1</v>
      </c>
      <c r="H482" s="3430"/>
      <c r="I482" s="3156">
        <f t="shared" si="88"/>
        <v>1</v>
      </c>
      <c r="J482" s="3430"/>
      <c r="K482" s="3156">
        <f t="shared" si="89"/>
        <v>1</v>
      </c>
      <c r="L482" s="3430"/>
      <c r="M482" s="3156">
        <f t="shared" si="90"/>
        <v>1</v>
      </c>
      <c r="N482" s="3430"/>
      <c r="O482" s="3156">
        <f t="shared" si="91"/>
        <v>1</v>
      </c>
      <c r="P482" s="3430"/>
      <c r="Q482" s="3156">
        <f t="shared" si="92"/>
        <v>1</v>
      </c>
      <c r="R482" s="3921">
        <f t="shared" si="93"/>
        <v>0</v>
      </c>
      <c r="S482" s="4017">
        <f t="shared" si="84"/>
        <v>0</v>
      </c>
    </row>
    <row r="483" spans="1:19">
      <c r="A483" s="3157"/>
      <c r="B483" s="3428"/>
      <c r="C483" s="3156">
        <f t="shared" si="85"/>
        <v>1</v>
      </c>
      <c r="D483" s="3430"/>
      <c r="E483" s="3156">
        <f t="shared" si="86"/>
        <v>0</v>
      </c>
      <c r="F483" s="3430"/>
      <c r="G483" s="3156">
        <f t="shared" si="87"/>
        <v>1</v>
      </c>
      <c r="H483" s="3430"/>
      <c r="I483" s="3156">
        <f t="shared" si="88"/>
        <v>1</v>
      </c>
      <c r="J483" s="3430"/>
      <c r="K483" s="3156">
        <f t="shared" si="89"/>
        <v>1</v>
      </c>
      <c r="L483" s="3430"/>
      <c r="M483" s="3156">
        <f t="shared" si="90"/>
        <v>1</v>
      </c>
      <c r="N483" s="3430"/>
      <c r="O483" s="3156">
        <f t="shared" si="91"/>
        <v>1</v>
      </c>
      <c r="P483" s="3430"/>
      <c r="Q483" s="3156">
        <f t="shared" si="92"/>
        <v>1</v>
      </c>
      <c r="R483" s="3921">
        <f t="shared" si="93"/>
        <v>0</v>
      </c>
      <c r="S483" s="4017">
        <f t="shared" si="84"/>
        <v>0</v>
      </c>
    </row>
    <row r="484" spans="1:19">
      <c r="A484" s="3157"/>
      <c r="B484" s="3428"/>
      <c r="C484" s="3156">
        <f t="shared" si="85"/>
        <v>1</v>
      </c>
      <c r="D484" s="3430"/>
      <c r="E484" s="3156">
        <f t="shared" si="86"/>
        <v>0</v>
      </c>
      <c r="F484" s="3430"/>
      <c r="G484" s="3156">
        <f t="shared" si="87"/>
        <v>1</v>
      </c>
      <c r="H484" s="3430"/>
      <c r="I484" s="3156">
        <f t="shared" si="88"/>
        <v>1</v>
      </c>
      <c r="J484" s="3430"/>
      <c r="K484" s="3156">
        <f t="shared" si="89"/>
        <v>1</v>
      </c>
      <c r="L484" s="3430"/>
      <c r="M484" s="3156">
        <f t="shared" si="90"/>
        <v>1</v>
      </c>
      <c r="N484" s="3430"/>
      <c r="O484" s="3156">
        <f t="shared" si="91"/>
        <v>1</v>
      </c>
      <c r="P484" s="3430"/>
      <c r="Q484" s="3156">
        <f t="shared" si="92"/>
        <v>1</v>
      </c>
      <c r="R484" s="3921">
        <f t="shared" si="93"/>
        <v>0</v>
      </c>
      <c r="S484" s="4017">
        <f t="shared" si="84"/>
        <v>0</v>
      </c>
    </row>
    <row r="485" spans="1:19">
      <c r="A485" s="3157"/>
      <c r="B485" s="3428"/>
      <c r="C485" s="3156">
        <f t="shared" si="85"/>
        <v>1</v>
      </c>
      <c r="D485" s="3430"/>
      <c r="E485" s="3156">
        <f t="shared" si="86"/>
        <v>0</v>
      </c>
      <c r="F485" s="3430"/>
      <c r="G485" s="3156">
        <f t="shared" si="87"/>
        <v>1</v>
      </c>
      <c r="H485" s="3430"/>
      <c r="I485" s="3156">
        <f t="shared" si="88"/>
        <v>1</v>
      </c>
      <c r="J485" s="3430"/>
      <c r="K485" s="3156">
        <f t="shared" si="89"/>
        <v>1</v>
      </c>
      <c r="L485" s="3430"/>
      <c r="M485" s="3156">
        <f t="shared" si="90"/>
        <v>1</v>
      </c>
      <c r="N485" s="3430"/>
      <c r="O485" s="3156">
        <f t="shared" si="91"/>
        <v>1</v>
      </c>
      <c r="P485" s="3430"/>
      <c r="Q485" s="3156">
        <f t="shared" si="92"/>
        <v>1</v>
      </c>
      <c r="R485" s="3921">
        <f t="shared" si="93"/>
        <v>0</v>
      </c>
      <c r="S485" s="4017">
        <f t="shared" si="84"/>
        <v>0</v>
      </c>
    </row>
    <row r="486" spans="1:19">
      <c r="A486" s="3157"/>
      <c r="B486" s="3428"/>
      <c r="C486" s="3156">
        <f t="shared" si="85"/>
        <v>1</v>
      </c>
      <c r="D486" s="3430"/>
      <c r="E486" s="3156">
        <f t="shared" si="86"/>
        <v>0</v>
      </c>
      <c r="F486" s="3430"/>
      <c r="G486" s="3156">
        <f t="shared" si="87"/>
        <v>1</v>
      </c>
      <c r="H486" s="3430"/>
      <c r="I486" s="3156">
        <f t="shared" si="88"/>
        <v>1</v>
      </c>
      <c r="J486" s="3430"/>
      <c r="K486" s="3156">
        <f t="shared" si="89"/>
        <v>1</v>
      </c>
      <c r="L486" s="3430"/>
      <c r="M486" s="3156">
        <f t="shared" si="90"/>
        <v>1</v>
      </c>
      <c r="N486" s="3430"/>
      <c r="O486" s="3156">
        <f t="shared" si="91"/>
        <v>1</v>
      </c>
      <c r="P486" s="3430"/>
      <c r="Q486" s="3156">
        <f t="shared" si="92"/>
        <v>1</v>
      </c>
      <c r="R486" s="3921">
        <f t="shared" si="93"/>
        <v>0</v>
      </c>
      <c r="S486" s="4017">
        <f t="shared" si="84"/>
        <v>0</v>
      </c>
    </row>
    <row r="487" spans="1:19">
      <c r="A487" s="3157"/>
      <c r="B487" s="3428"/>
      <c r="C487" s="3156">
        <f t="shared" si="85"/>
        <v>1</v>
      </c>
      <c r="D487" s="3430"/>
      <c r="E487" s="3156">
        <f t="shared" si="86"/>
        <v>0</v>
      </c>
      <c r="F487" s="3430"/>
      <c r="G487" s="3156">
        <f t="shared" si="87"/>
        <v>1</v>
      </c>
      <c r="H487" s="3430"/>
      <c r="I487" s="3156">
        <f t="shared" si="88"/>
        <v>1</v>
      </c>
      <c r="J487" s="3430"/>
      <c r="K487" s="3156">
        <f t="shared" si="89"/>
        <v>1</v>
      </c>
      <c r="L487" s="3430"/>
      <c r="M487" s="3156">
        <f t="shared" si="90"/>
        <v>1</v>
      </c>
      <c r="N487" s="3430"/>
      <c r="O487" s="3156">
        <f t="shared" si="91"/>
        <v>1</v>
      </c>
      <c r="P487" s="3430"/>
      <c r="Q487" s="3156">
        <f t="shared" si="92"/>
        <v>1</v>
      </c>
      <c r="R487" s="3921">
        <f t="shared" si="93"/>
        <v>0</v>
      </c>
      <c r="S487" s="4017">
        <f t="shared" si="84"/>
        <v>0</v>
      </c>
    </row>
    <row r="488" spans="1:19">
      <c r="A488" s="3157"/>
      <c r="B488" s="3428"/>
      <c r="C488" s="3156">
        <f t="shared" si="85"/>
        <v>1</v>
      </c>
      <c r="D488" s="3430"/>
      <c r="E488" s="3156">
        <f t="shared" si="86"/>
        <v>0</v>
      </c>
      <c r="F488" s="3430"/>
      <c r="G488" s="3156">
        <f t="shared" si="87"/>
        <v>1</v>
      </c>
      <c r="H488" s="3430"/>
      <c r="I488" s="3156">
        <f t="shared" si="88"/>
        <v>1</v>
      </c>
      <c r="J488" s="3430"/>
      <c r="K488" s="3156">
        <f t="shared" si="89"/>
        <v>1</v>
      </c>
      <c r="L488" s="3430"/>
      <c r="M488" s="3156">
        <f t="shared" si="90"/>
        <v>1</v>
      </c>
      <c r="N488" s="3430"/>
      <c r="O488" s="3156">
        <f t="shared" si="91"/>
        <v>1</v>
      </c>
      <c r="P488" s="3430"/>
      <c r="Q488" s="3156">
        <f t="shared" si="92"/>
        <v>1</v>
      </c>
      <c r="R488" s="3921">
        <f t="shared" si="93"/>
        <v>0</v>
      </c>
      <c r="S488" s="4017">
        <f t="shared" si="84"/>
        <v>0</v>
      </c>
    </row>
    <row r="489" spans="1:19">
      <c r="A489" s="3157"/>
      <c r="B489" s="3428"/>
      <c r="C489" s="3156">
        <f t="shared" si="85"/>
        <v>1</v>
      </c>
      <c r="D489" s="3430"/>
      <c r="E489" s="3156">
        <f t="shared" si="86"/>
        <v>0</v>
      </c>
      <c r="F489" s="3430"/>
      <c r="G489" s="3156">
        <f t="shared" si="87"/>
        <v>1</v>
      </c>
      <c r="H489" s="3430"/>
      <c r="I489" s="3156">
        <f t="shared" si="88"/>
        <v>1</v>
      </c>
      <c r="J489" s="3430"/>
      <c r="K489" s="3156">
        <f t="shared" si="89"/>
        <v>1</v>
      </c>
      <c r="L489" s="3430"/>
      <c r="M489" s="3156">
        <f t="shared" si="90"/>
        <v>1</v>
      </c>
      <c r="N489" s="3430"/>
      <c r="O489" s="3156">
        <f t="shared" si="91"/>
        <v>1</v>
      </c>
      <c r="P489" s="3430"/>
      <c r="Q489" s="3156">
        <f t="shared" si="92"/>
        <v>1</v>
      </c>
      <c r="R489" s="3921">
        <f t="shared" si="93"/>
        <v>0</v>
      </c>
      <c r="S489" s="4017">
        <f t="shared" si="84"/>
        <v>0</v>
      </c>
    </row>
    <row r="490" spans="1:19">
      <c r="A490" s="3157"/>
      <c r="B490" s="3428"/>
      <c r="C490" s="3156">
        <f t="shared" si="85"/>
        <v>1</v>
      </c>
      <c r="D490" s="3430"/>
      <c r="E490" s="3156">
        <f t="shared" si="86"/>
        <v>0</v>
      </c>
      <c r="F490" s="3430"/>
      <c r="G490" s="3156">
        <f t="shared" si="87"/>
        <v>1</v>
      </c>
      <c r="H490" s="3430"/>
      <c r="I490" s="3156">
        <f t="shared" si="88"/>
        <v>1</v>
      </c>
      <c r="J490" s="3430"/>
      <c r="K490" s="3156">
        <f t="shared" si="89"/>
        <v>1</v>
      </c>
      <c r="L490" s="3430"/>
      <c r="M490" s="3156">
        <f t="shared" si="90"/>
        <v>1</v>
      </c>
      <c r="N490" s="3430"/>
      <c r="O490" s="3156">
        <f t="shared" si="91"/>
        <v>1</v>
      </c>
      <c r="P490" s="3430"/>
      <c r="Q490" s="3156">
        <f t="shared" si="92"/>
        <v>1</v>
      </c>
      <c r="R490" s="3921">
        <f t="shared" si="93"/>
        <v>0</v>
      </c>
      <c r="S490" s="4017">
        <f t="shared" si="84"/>
        <v>0</v>
      </c>
    </row>
    <row r="491" spans="1:19">
      <c r="A491" s="3157"/>
      <c r="B491" s="3428"/>
      <c r="C491" s="3156">
        <f t="shared" si="85"/>
        <v>1</v>
      </c>
      <c r="D491" s="3430"/>
      <c r="E491" s="3156">
        <f t="shared" si="86"/>
        <v>0</v>
      </c>
      <c r="F491" s="3430"/>
      <c r="G491" s="3156">
        <f t="shared" si="87"/>
        <v>1</v>
      </c>
      <c r="H491" s="3430"/>
      <c r="I491" s="3156">
        <f t="shared" si="88"/>
        <v>1</v>
      </c>
      <c r="J491" s="3430"/>
      <c r="K491" s="3156">
        <f t="shared" si="89"/>
        <v>1</v>
      </c>
      <c r="L491" s="3430"/>
      <c r="M491" s="3156">
        <f t="shared" si="90"/>
        <v>1</v>
      </c>
      <c r="N491" s="3430"/>
      <c r="O491" s="3156">
        <f t="shared" si="91"/>
        <v>1</v>
      </c>
      <c r="P491" s="3430"/>
      <c r="Q491" s="3156">
        <f t="shared" si="92"/>
        <v>1</v>
      </c>
      <c r="R491" s="3921">
        <f t="shared" si="93"/>
        <v>0</v>
      </c>
      <c r="S491" s="4017">
        <f t="shared" si="84"/>
        <v>0</v>
      </c>
    </row>
    <row r="492" spans="1:19">
      <c r="A492" s="3157"/>
      <c r="B492" s="3428"/>
      <c r="C492" s="3156">
        <f t="shared" si="85"/>
        <v>1</v>
      </c>
      <c r="D492" s="3430"/>
      <c r="E492" s="3156">
        <f t="shared" si="86"/>
        <v>0</v>
      </c>
      <c r="F492" s="3430"/>
      <c r="G492" s="3156">
        <f t="shared" si="87"/>
        <v>1</v>
      </c>
      <c r="H492" s="3430"/>
      <c r="I492" s="3156">
        <f t="shared" si="88"/>
        <v>1</v>
      </c>
      <c r="J492" s="3430"/>
      <c r="K492" s="3156">
        <f t="shared" si="89"/>
        <v>1</v>
      </c>
      <c r="L492" s="3430"/>
      <c r="M492" s="3156">
        <f t="shared" si="90"/>
        <v>1</v>
      </c>
      <c r="N492" s="3430"/>
      <c r="O492" s="3156">
        <f t="shared" si="91"/>
        <v>1</v>
      </c>
      <c r="P492" s="3430"/>
      <c r="Q492" s="3156">
        <f t="shared" si="92"/>
        <v>1</v>
      </c>
      <c r="R492" s="3921">
        <f t="shared" si="93"/>
        <v>0</v>
      </c>
      <c r="S492" s="4017">
        <f t="shared" si="84"/>
        <v>0</v>
      </c>
    </row>
    <row r="493" spans="1:19">
      <c r="A493" s="3157"/>
      <c r="B493" s="3428"/>
      <c r="C493" s="3156">
        <f t="shared" si="85"/>
        <v>1</v>
      </c>
      <c r="D493" s="3430"/>
      <c r="E493" s="3156">
        <f t="shared" si="86"/>
        <v>0</v>
      </c>
      <c r="F493" s="3430"/>
      <c r="G493" s="3156">
        <f t="shared" si="87"/>
        <v>1</v>
      </c>
      <c r="H493" s="3430"/>
      <c r="I493" s="3156">
        <f t="shared" si="88"/>
        <v>1</v>
      </c>
      <c r="J493" s="3430"/>
      <c r="K493" s="3156">
        <f t="shared" si="89"/>
        <v>1</v>
      </c>
      <c r="L493" s="3430"/>
      <c r="M493" s="3156">
        <f t="shared" si="90"/>
        <v>1</v>
      </c>
      <c r="N493" s="3430"/>
      <c r="O493" s="3156">
        <f t="shared" si="91"/>
        <v>1</v>
      </c>
      <c r="P493" s="3430"/>
      <c r="Q493" s="3156">
        <f t="shared" si="92"/>
        <v>1</v>
      </c>
      <c r="R493" s="3921">
        <f t="shared" si="93"/>
        <v>0</v>
      </c>
      <c r="S493" s="4017">
        <f t="shared" si="84"/>
        <v>0</v>
      </c>
    </row>
    <row r="494" spans="1:19">
      <c r="A494" s="3157"/>
      <c r="B494" s="3428"/>
      <c r="C494" s="3156">
        <f t="shared" si="85"/>
        <v>1</v>
      </c>
      <c r="D494" s="3430"/>
      <c r="E494" s="3156">
        <f t="shared" si="86"/>
        <v>0</v>
      </c>
      <c r="F494" s="3430"/>
      <c r="G494" s="3156">
        <f t="shared" si="87"/>
        <v>1</v>
      </c>
      <c r="H494" s="3430"/>
      <c r="I494" s="3156">
        <f t="shared" si="88"/>
        <v>1</v>
      </c>
      <c r="J494" s="3430"/>
      <c r="K494" s="3156">
        <f t="shared" si="89"/>
        <v>1</v>
      </c>
      <c r="L494" s="3430"/>
      <c r="M494" s="3156">
        <f t="shared" si="90"/>
        <v>1</v>
      </c>
      <c r="N494" s="3430"/>
      <c r="O494" s="3156">
        <f t="shared" si="91"/>
        <v>1</v>
      </c>
      <c r="P494" s="3430"/>
      <c r="Q494" s="3156">
        <f t="shared" si="92"/>
        <v>1</v>
      </c>
      <c r="R494" s="3921">
        <f t="shared" si="93"/>
        <v>0</v>
      </c>
      <c r="S494" s="4017">
        <f t="shared" si="84"/>
        <v>0</v>
      </c>
    </row>
    <row r="495" spans="1:19">
      <c r="A495" s="3157"/>
      <c r="B495" s="3428"/>
      <c r="C495" s="3156">
        <f t="shared" si="85"/>
        <v>1</v>
      </c>
      <c r="D495" s="3430"/>
      <c r="E495" s="3156">
        <f t="shared" si="86"/>
        <v>0</v>
      </c>
      <c r="F495" s="3430"/>
      <c r="G495" s="3156">
        <f t="shared" si="87"/>
        <v>1</v>
      </c>
      <c r="H495" s="3430"/>
      <c r="I495" s="3156">
        <f t="shared" si="88"/>
        <v>1</v>
      </c>
      <c r="J495" s="3430"/>
      <c r="K495" s="3156">
        <f t="shared" si="89"/>
        <v>1</v>
      </c>
      <c r="L495" s="3430"/>
      <c r="M495" s="3156">
        <f t="shared" si="90"/>
        <v>1</v>
      </c>
      <c r="N495" s="3430"/>
      <c r="O495" s="3156">
        <f t="shared" si="91"/>
        <v>1</v>
      </c>
      <c r="P495" s="3430"/>
      <c r="Q495" s="3156">
        <f t="shared" si="92"/>
        <v>1</v>
      </c>
      <c r="R495" s="3921">
        <f t="shared" si="93"/>
        <v>0</v>
      </c>
      <c r="S495" s="4017">
        <f t="shared" si="84"/>
        <v>0</v>
      </c>
    </row>
    <row r="496" spans="1:19">
      <c r="A496" s="3157"/>
      <c r="B496" s="3428"/>
      <c r="C496" s="3156">
        <f t="shared" si="85"/>
        <v>1</v>
      </c>
      <c r="D496" s="3430"/>
      <c r="E496" s="3156">
        <f t="shared" si="86"/>
        <v>0</v>
      </c>
      <c r="F496" s="3430"/>
      <c r="G496" s="3156">
        <f t="shared" si="87"/>
        <v>1</v>
      </c>
      <c r="H496" s="3430"/>
      <c r="I496" s="3156">
        <f t="shared" si="88"/>
        <v>1</v>
      </c>
      <c r="J496" s="3430"/>
      <c r="K496" s="3156">
        <f t="shared" si="89"/>
        <v>1</v>
      </c>
      <c r="L496" s="3430"/>
      <c r="M496" s="3156">
        <f t="shared" si="90"/>
        <v>1</v>
      </c>
      <c r="N496" s="3430"/>
      <c r="O496" s="3156">
        <f t="shared" si="91"/>
        <v>1</v>
      </c>
      <c r="P496" s="3430"/>
      <c r="Q496" s="3156">
        <f t="shared" si="92"/>
        <v>1</v>
      </c>
      <c r="R496" s="3921">
        <f t="shared" si="93"/>
        <v>0</v>
      </c>
      <c r="S496" s="4017">
        <f t="shared" si="84"/>
        <v>0</v>
      </c>
    </row>
    <row r="497" spans="1:19">
      <c r="A497" s="3157"/>
      <c r="B497" s="3428"/>
      <c r="C497" s="3156">
        <f t="shared" si="85"/>
        <v>1</v>
      </c>
      <c r="D497" s="3430"/>
      <c r="E497" s="3156">
        <f t="shared" si="86"/>
        <v>0</v>
      </c>
      <c r="F497" s="3430"/>
      <c r="G497" s="3156">
        <f t="shared" si="87"/>
        <v>1</v>
      </c>
      <c r="H497" s="3430"/>
      <c r="I497" s="3156">
        <f t="shared" si="88"/>
        <v>1</v>
      </c>
      <c r="J497" s="3430"/>
      <c r="K497" s="3156">
        <f t="shared" si="89"/>
        <v>1</v>
      </c>
      <c r="L497" s="3430"/>
      <c r="M497" s="3156">
        <f t="shared" si="90"/>
        <v>1</v>
      </c>
      <c r="N497" s="3430"/>
      <c r="O497" s="3156">
        <f t="shared" si="91"/>
        <v>1</v>
      </c>
      <c r="P497" s="3430"/>
      <c r="Q497" s="3156">
        <f t="shared" si="92"/>
        <v>1</v>
      </c>
      <c r="R497" s="3921">
        <f t="shared" si="93"/>
        <v>0</v>
      </c>
      <c r="S497" s="4017">
        <f t="shared" si="84"/>
        <v>0</v>
      </c>
    </row>
    <row r="498" spans="1:19">
      <c r="A498" s="3157"/>
      <c r="B498" s="3428"/>
      <c r="C498" s="3156">
        <f t="shared" si="85"/>
        <v>1</v>
      </c>
      <c r="D498" s="3430"/>
      <c r="E498" s="3156">
        <f t="shared" si="86"/>
        <v>0</v>
      </c>
      <c r="F498" s="3430"/>
      <c r="G498" s="3156">
        <f t="shared" si="87"/>
        <v>1</v>
      </c>
      <c r="H498" s="3430"/>
      <c r="I498" s="3156">
        <f t="shared" si="88"/>
        <v>1</v>
      </c>
      <c r="J498" s="3430"/>
      <c r="K498" s="3156">
        <f t="shared" si="89"/>
        <v>1</v>
      </c>
      <c r="L498" s="3430"/>
      <c r="M498" s="3156">
        <f t="shared" si="90"/>
        <v>1</v>
      </c>
      <c r="N498" s="3430"/>
      <c r="O498" s="3156">
        <f t="shared" si="91"/>
        <v>1</v>
      </c>
      <c r="P498" s="3430"/>
      <c r="Q498" s="3156">
        <f t="shared" si="92"/>
        <v>1</v>
      </c>
      <c r="R498" s="3921">
        <f t="shared" si="93"/>
        <v>0</v>
      </c>
      <c r="S498" s="4017">
        <f t="shared" ref="S498:S524" si="94">ROUND(R498*B498/10000,0)</f>
        <v>0</v>
      </c>
    </row>
    <row r="499" spans="1:19">
      <c r="A499" s="3157"/>
      <c r="B499" s="3428"/>
      <c r="C499" s="3156">
        <f t="shared" si="85"/>
        <v>1</v>
      </c>
      <c r="D499" s="3430"/>
      <c r="E499" s="3156">
        <f t="shared" si="86"/>
        <v>0</v>
      </c>
      <c r="F499" s="3430"/>
      <c r="G499" s="3156">
        <f t="shared" si="87"/>
        <v>1</v>
      </c>
      <c r="H499" s="3430"/>
      <c r="I499" s="3156">
        <f t="shared" si="88"/>
        <v>1</v>
      </c>
      <c r="J499" s="3430"/>
      <c r="K499" s="3156">
        <f t="shared" si="89"/>
        <v>1</v>
      </c>
      <c r="L499" s="3430"/>
      <c r="M499" s="3156">
        <f t="shared" si="90"/>
        <v>1</v>
      </c>
      <c r="N499" s="3430"/>
      <c r="O499" s="3156">
        <f t="shared" si="91"/>
        <v>1</v>
      </c>
      <c r="P499" s="3430"/>
      <c r="Q499" s="3156">
        <f t="shared" si="92"/>
        <v>1</v>
      </c>
      <c r="R499" s="3921">
        <f t="shared" si="93"/>
        <v>0</v>
      </c>
      <c r="S499" s="4017">
        <f t="shared" si="94"/>
        <v>0</v>
      </c>
    </row>
    <row r="500" spans="1:19">
      <c r="A500" s="3157"/>
      <c r="B500" s="3428"/>
      <c r="C500" s="3156">
        <f t="shared" si="85"/>
        <v>1</v>
      </c>
      <c r="D500" s="3430"/>
      <c r="E500" s="3156">
        <f t="shared" si="86"/>
        <v>0</v>
      </c>
      <c r="F500" s="3430"/>
      <c r="G500" s="3156">
        <f t="shared" si="87"/>
        <v>1</v>
      </c>
      <c r="H500" s="3430"/>
      <c r="I500" s="3156">
        <f t="shared" si="88"/>
        <v>1</v>
      </c>
      <c r="J500" s="3430"/>
      <c r="K500" s="3156">
        <f t="shared" si="89"/>
        <v>1</v>
      </c>
      <c r="L500" s="3430"/>
      <c r="M500" s="3156">
        <f t="shared" si="90"/>
        <v>1</v>
      </c>
      <c r="N500" s="3430"/>
      <c r="O500" s="3156">
        <f t="shared" si="91"/>
        <v>1</v>
      </c>
      <c r="P500" s="3430"/>
      <c r="Q500" s="3156">
        <f t="shared" si="92"/>
        <v>1</v>
      </c>
      <c r="R500" s="3921">
        <f t="shared" si="93"/>
        <v>0</v>
      </c>
      <c r="S500" s="4017">
        <f t="shared" si="94"/>
        <v>0</v>
      </c>
    </row>
    <row r="501" spans="1:19">
      <c r="A501" s="3157"/>
      <c r="B501" s="3428"/>
      <c r="C501" s="3156">
        <f t="shared" si="85"/>
        <v>1</v>
      </c>
      <c r="D501" s="3430"/>
      <c r="E501" s="3156">
        <f t="shared" si="86"/>
        <v>0</v>
      </c>
      <c r="F501" s="3430"/>
      <c r="G501" s="3156">
        <f t="shared" si="87"/>
        <v>1</v>
      </c>
      <c r="H501" s="3430"/>
      <c r="I501" s="3156">
        <f t="shared" si="88"/>
        <v>1</v>
      </c>
      <c r="J501" s="3430"/>
      <c r="K501" s="3156">
        <f t="shared" si="89"/>
        <v>1</v>
      </c>
      <c r="L501" s="3430"/>
      <c r="M501" s="3156">
        <f t="shared" si="90"/>
        <v>1</v>
      </c>
      <c r="N501" s="3430"/>
      <c r="O501" s="3156">
        <f t="shared" si="91"/>
        <v>1</v>
      </c>
      <c r="P501" s="3430"/>
      <c r="Q501" s="3156">
        <f t="shared" si="92"/>
        <v>1</v>
      </c>
      <c r="R501" s="3921">
        <f t="shared" si="93"/>
        <v>0</v>
      </c>
      <c r="S501" s="4017">
        <f t="shared" si="94"/>
        <v>0</v>
      </c>
    </row>
    <row r="502" spans="1:19">
      <c r="A502" s="3157"/>
      <c r="B502" s="3428"/>
      <c r="C502" s="3156">
        <f t="shared" si="85"/>
        <v>1</v>
      </c>
      <c r="D502" s="3430"/>
      <c r="E502" s="3156">
        <f t="shared" si="86"/>
        <v>0</v>
      </c>
      <c r="F502" s="3430"/>
      <c r="G502" s="3156">
        <f t="shared" si="87"/>
        <v>1</v>
      </c>
      <c r="H502" s="3430"/>
      <c r="I502" s="3156">
        <f t="shared" si="88"/>
        <v>1</v>
      </c>
      <c r="J502" s="3430"/>
      <c r="K502" s="3156">
        <f t="shared" si="89"/>
        <v>1</v>
      </c>
      <c r="L502" s="3430"/>
      <c r="M502" s="3156">
        <f t="shared" si="90"/>
        <v>1</v>
      </c>
      <c r="N502" s="3430"/>
      <c r="O502" s="3156">
        <f t="shared" si="91"/>
        <v>1</v>
      </c>
      <c r="P502" s="3430"/>
      <c r="Q502" s="3156">
        <f t="shared" si="92"/>
        <v>1</v>
      </c>
      <c r="R502" s="3921">
        <f t="shared" si="93"/>
        <v>0</v>
      </c>
      <c r="S502" s="4017">
        <f t="shared" si="94"/>
        <v>0</v>
      </c>
    </row>
    <row r="503" spans="1:19">
      <c r="A503" s="3157"/>
      <c r="B503" s="3428"/>
      <c r="C503" s="3156">
        <f t="shared" si="85"/>
        <v>1</v>
      </c>
      <c r="D503" s="3430"/>
      <c r="E503" s="3156">
        <f t="shared" si="86"/>
        <v>0</v>
      </c>
      <c r="F503" s="3430"/>
      <c r="G503" s="3156">
        <f t="shared" si="87"/>
        <v>1</v>
      </c>
      <c r="H503" s="3430"/>
      <c r="I503" s="3156">
        <f t="shared" si="88"/>
        <v>1</v>
      </c>
      <c r="J503" s="3430"/>
      <c r="K503" s="3156">
        <f t="shared" si="89"/>
        <v>1</v>
      </c>
      <c r="L503" s="3430"/>
      <c r="M503" s="3156">
        <f t="shared" si="90"/>
        <v>1</v>
      </c>
      <c r="N503" s="3430"/>
      <c r="O503" s="3156">
        <f t="shared" si="91"/>
        <v>1</v>
      </c>
      <c r="P503" s="3430"/>
      <c r="Q503" s="3156">
        <f t="shared" si="92"/>
        <v>1</v>
      </c>
      <c r="R503" s="3921">
        <f t="shared" si="93"/>
        <v>0</v>
      </c>
      <c r="S503" s="4017">
        <f t="shared" si="94"/>
        <v>0</v>
      </c>
    </row>
    <row r="504" spans="1:19">
      <c r="A504" s="3157"/>
      <c r="B504" s="3428"/>
      <c r="C504" s="3156">
        <f t="shared" si="85"/>
        <v>1</v>
      </c>
      <c r="D504" s="3430"/>
      <c r="E504" s="3156">
        <f t="shared" si="86"/>
        <v>0</v>
      </c>
      <c r="F504" s="3430"/>
      <c r="G504" s="3156">
        <f t="shared" si="87"/>
        <v>1</v>
      </c>
      <c r="H504" s="3430"/>
      <c r="I504" s="3156">
        <f t="shared" si="88"/>
        <v>1</v>
      </c>
      <c r="J504" s="3430"/>
      <c r="K504" s="3156">
        <f t="shared" si="89"/>
        <v>1</v>
      </c>
      <c r="L504" s="3430"/>
      <c r="M504" s="3156">
        <f t="shared" si="90"/>
        <v>1</v>
      </c>
      <c r="N504" s="3430"/>
      <c r="O504" s="3156">
        <f t="shared" si="91"/>
        <v>1</v>
      </c>
      <c r="P504" s="3430"/>
      <c r="Q504" s="3156">
        <f t="shared" si="92"/>
        <v>1</v>
      </c>
      <c r="R504" s="3921">
        <f t="shared" si="93"/>
        <v>0</v>
      </c>
      <c r="S504" s="4017">
        <f t="shared" si="94"/>
        <v>0</v>
      </c>
    </row>
    <row r="505" spans="1:19">
      <c r="A505" s="3157"/>
      <c r="B505" s="3428"/>
      <c r="C505" s="3156">
        <f t="shared" si="85"/>
        <v>1</v>
      </c>
      <c r="D505" s="3430"/>
      <c r="E505" s="3156">
        <f t="shared" si="86"/>
        <v>0</v>
      </c>
      <c r="F505" s="3430"/>
      <c r="G505" s="3156">
        <f t="shared" si="87"/>
        <v>1</v>
      </c>
      <c r="H505" s="3430"/>
      <c r="I505" s="3156">
        <f t="shared" si="88"/>
        <v>1</v>
      </c>
      <c r="J505" s="3430"/>
      <c r="K505" s="3156">
        <f t="shared" si="89"/>
        <v>1</v>
      </c>
      <c r="L505" s="3430"/>
      <c r="M505" s="3156">
        <f t="shared" si="90"/>
        <v>1</v>
      </c>
      <c r="N505" s="3430"/>
      <c r="O505" s="3156">
        <f t="shared" si="91"/>
        <v>1</v>
      </c>
      <c r="P505" s="3430"/>
      <c r="Q505" s="3156">
        <f t="shared" si="92"/>
        <v>1</v>
      </c>
      <c r="R505" s="3921">
        <f t="shared" si="93"/>
        <v>0</v>
      </c>
      <c r="S505" s="4017">
        <f t="shared" si="94"/>
        <v>0</v>
      </c>
    </row>
    <row r="506" spans="1:19">
      <c r="A506" s="3157"/>
      <c r="B506" s="3428"/>
      <c r="C506" s="3156">
        <f t="shared" si="85"/>
        <v>1</v>
      </c>
      <c r="D506" s="3430"/>
      <c r="E506" s="3156">
        <f t="shared" si="86"/>
        <v>0</v>
      </c>
      <c r="F506" s="3430"/>
      <c r="G506" s="3156">
        <f t="shared" si="87"/>
        <v>1</v>
      </c>
      <c r="H506" s="3430"/>
      <c r="I506" s="3156">
        <f t="shared" si="88"/>
        <v>1</v>
      </c>
      <c r="J506" s="3430"/>
      <c r="K506" s="3156">
        <f t="shared" si="89"/>
        <v>1</v>
      </c>
      <c r="L506" s="3430"/>
      <c r="M506" s="3156">
        <f t="shared" si="90"/>
        <v>1</v>
      </c>
      <c r="N506" s="3430"/>
      <c r="O506" s="3156">
        <f t="shared" si="91"/>
        <v>1</v>
      </c>
      <c r="P506" s="3430"/>
      <c r="Q506" s="3156">
        <f t="shared" si="92"/>
        <v>1</v>
      </c>
      <c r="R506" s="3921">
        <f t="shared" si="93"/>
        <v>0</v>
      </c>
      <c r="S506" s="4017">
        <f t="shared" si="94"/>
        <v>0</v>
      </c>
    </row>
    <row r="507" spans="1:19">
      <c r="A507" s="3157"/>
      <c r="B507" s="3428"/>
      <c r="C507" s="3156">
        <f t="shared" si="85"/>
        <v>1</v>
      </c>
      <c r="D507" s="3430"/>
      <c r="E507" s="3156">
        <f t="shared" si="86"/>
        <v>0</v>
      </c>
      <c r="F507" s="3430"/>
      <c r="G507" s="3156">
        <f t="shared" si="87"/>
        <v>1</v>
      </c>
      <c r="H507" s="3430"/>
      <c r="I507" s="3156">
        <f t="shared" si="88"/>
        <v>1</v>
      </c>
      <c r="J507" s="3430"/>
      <c r="K507" s="3156">
        <f t="shared" si="89"/>
        <v>1</v>
      </c>
      <c r="L507" s="3430"/>
      <c r="M507" s="3156">
        <f t="shared" si="90"/>
        <v>1</v>
      </c>
      <c r="N507" s="3430"/>
      <c r="O507" s="3156">
        <f t="shared" si="91"/>
        <v>1</v>
      </c>
      <c r="P507" s="3430"/>
      <c r="Q507" s="3156">
        <f t="shared" si="92"/>
        <v>1</v>
      </c>
      <c r="R507" s="3921">
        <f t="shared" si="93"/>
        <v>0</v>
      </c>
      <c r="S507" s="4017">
        <f t="shared" si="94"/>
        <v>0</v>
      </c>
    </row>
    <row r="508" spans="1:19">
      <c r="A508" s="3157"/>
      <c r="B508" s="3428"/>
      <c r="C508" s="3156">
        <f t="shared" si="85"/>
        <v>1</v>
      </c>
      <c r="D508" s="3430"/>
      <c r="E508" s="3156">
        <f t="shared" si="86"/>
        <v>0</v>
      </c>
      <c r="F508" s="3430"/>
      <c r="G508" s="3156">
        <f t="shared" si="87"/>
        <v>1</v>
      </c>
      <c r="H508" s="3430"/>
      <c r="I508" s="3156">
        <f t="shared" si="88"/>
        <v>1</v>
      </c>
      <c r="J508" s="3430"/>
      <c r="K508" s="3156">
        <f t="shared" si="89"/>
        <v>1</v>
      </c>
      <c r="L508" s="3430"/>
      <c r="M508" s="3156">
        <f t="shared" si="90"/>
        <v>1</v>
      </c>
      <c r="N508" s="3430"/>
      <c r="O508" s="3156">
        <f t="shared" si="91"/>
        <v>1</v>
      </c>
      <c r="P508" s="3430"/>
      <c r="Q508" s="3156">
        <f t="shared" si="92"/>
        <v>1</v>
      </c>
      <c r="R508" s="3921">
        <f t="shared" si="93"/>
        <v>0</v>
      </c>
      <c r="S508" s="4017">
        <f t="shared" si="94"/>
        <v>0</v>
      </c>
    </row>
    <row r="509" spans="1:19">
      <c r="A509" s="3157"/>
      <c r="B509" s="3428"/>
      <c r="C509" s="3156">
        <f t="shared" si="85"/>
        <v>1</v>
      </c>
      <c r="D509" s="3430"/>
      <c r="E509" s="3156">
        <f t="shared" si="86"/>
        <v>0</v>
      </c>
      <c r="F509" s="3430"/>
      <c r="G509" s="3156">
        <f t="shared" si="87"/>
        <v>1</v>
      </c>
      <c r="H509" s="3430"/>
      <c r="I509" s="3156">
        <f t="shared" si="88"/>
        <v>1</v>
      </c>
      <c r="J509" s="3430"/>
      <c r="K509" s="3156">
        <f t="shared" si="89"/>
        <v>1</v>
      </c>
      <c r="L509" s="3430"/>
      <c r="M509" s="3156">
        <f t="shared" si="90"/>
        <v>1</v>
      </c>
      <c r="N509" s="3430"/>
      <c r="O509" s="3156">
        <f t="shared" si="91"/>
        <v>1</v>
      </c>
      <c r="P509" s="3430"/>
      <c r="Q509" s="3156">
        <f t="shared" si="92"/>
        <v>1</v>
      </c>
      <c r="R509" s="3921">
        <f t="shared" si="93"/>
        <v>0</v>
      </c>
      <c r="S509" s="4017">
        <f t="shared" si="94"/>
        <v>0</v>
      </c>
    </row>
    <row r="510" spans="1:19">
      <c r="A510" s="3157"/>
      <c r="B510" s="3428"/>
      <c r="C510" s="3156">
        <f t="shared" si="85"/>
        <v>1</v>
      </c>
      <c r="D510" s="3430"/>
      <c r="E510" s="3156">
        <f t="shared" si="86"/>
        <v>0</v>
      </c>
      <c r="F510" s="3430"/>
      <c r="G510" s="3156">
        <f t="shared" si="87"/>
        <v>1</v>
      </c>
      <c r="H510" s="3430"/>
      <c r="I510" s="3156">
        <f t="shared" si="88"/>
        <v>1</v>
      </c>
      <c r="J510" s="3430"/>
      <c r="K510" s="3156">
        <f t="shared" si="89"/>
        <v>1</v>
      </c>
      <c r="L510" s="3430"/>
      <c r="M510" s="3156">
        <f t="shared" si="90"/>
        <v>1</v>
      </c>
      <c r="N510" s="3430"/>
      <c r="O510" s="3156">
        <f t="shared" si="91"/>
        <v>1</v>
      </c>
      <c r="P510" s="3430"/>
      <c r="Q510" s="3156">
        <f t="shared" si="92"/>
        <v>1</v>
      </c>
      <c r="R510" s="3921">
        <f t="shared" si="93"/>
        <v>0</v>
      </c>
      <c r="S510" s="4017">
        <f t="shared" si="94"/>
        <v>0</v>
      </c>
    </row>
    <row r="511" spans="1:19">
      <c r="A511" s="3157"/>
      <c r="B511" s="3428"/>
      <c r="C511" s="3156">
        <f t="shared" si="85"/>
        <v>1</v>
      </c>
      <c r="D511" s="3430"/>
      <c r="E511" s="3156">
        <f t="shared" si="86"/>
        <v>0</v>
      </c>
      <c r="F511" s="3430"/>
      <c r="G511" s="3156">
        <f t="shared" si="87"/>
        <v>1</v>
      </c>
      <c r="H511" s="3430"/>
      <c r="I511" s="3156">
        <f t="shared" si="88"/>
        <v>1</v>
      </c>
      <c r="J511" s="3430"/>
      <c r="K511" s="3156">
        <f t="shared" si="89"/>
        <v>1</v>
      </c>
      <c r="L511" s="3430"/>
      <c r="M511" s="3156">
        <f t="shared" si="90"/>
        <v>1</v>
      </c>
      <c r="N511" s="3430"/>
      <c r="O511" s="3156">
        <f t="shared" si="91"/>
        <v>1</v>
      </c>
      <c r="P511" s="3430"/>
      <c r="Q511" s="3156">
        <f t="shared" si="92"/>
        <v>1</v>
      </c>
      <c r="R511" s="3921">
        <f t="shared" si="93"/>
        <v>0</v>
      </c>
      <c r="S511" s="4017">
        <f t="shared" si="94"/>
        <v>0</v>
      </c>
    </row>
    <row r="512" spans="1:19">
      <c r="A512" s="3157"/>
      <c r="B512" s="3428"/>
      <c r="C512" s="3156">
        <f t="shared" si="85"/>
        <v>1</v>
      </c>
      <c r="D512" s="3430"/>
      <c r="E512" s="3156">
        <f t="shared" si="86"/>
        <v>0</v>
      </c>
      <c r="F512" s="3430"/>
      <c r="G512" s="3156">
        <f t="shared" si="87"/>
        <v>1</v>
      </c>
      <c r="H512" s="3430"/>
      <c r="I512" s="3156">
        <f t="shared" si="88"/>
        <v>1</v>
      </c>
      <c r="J512" s="3430"/>
      <c r="K512" s="3156">
        <f t="shared" si="89"/>
        <v>1</v>
      </c>
      <c r="L512" s="3430"/>
      <c r="M512" s="3156">
        <f t="shared" si="90"/>
        <v>1</v>
      </c>
      <c r="N512" s="3430"/>
      <c r="O512" s="3156">
        <f t="shared" si="91"/>
        <v>1</v>
      </c>
      <c r="P512" s="3430"/>
      <c r="Q512" s="3156">
        <f t="shared" si="92"/>
        <v>1</v>
      </c>
      <c r="R512" s="3921">
        <f t="shared" si="93"/>
        <v>0</v>
      </c>
      <c r="S512" s="4017">
        <f t="shared" si="94"/>
        <v>0</v>
      </c>
    </row>
    <row r="513" spans="1:19">
      <c r="A513" s="3157"/>
      <c r="B513" s="3428"/>
      <c r="C513" s="3156">
        <f t="shared" si="85"/>
        <v>1</v>
      </c>
      <c r="D513" s="3430"/>
      <c r="E513" s="3156">
        <f t="shared" si="86"/>
        <v>0</v>
      </c>
      <c r="F513" s="3430"/>
      <c r="G513" s="3156">
        <f t="shared" si="87"/>
        <v>1</v>
      </c>
      <c r="H513" s="3430"/>
      <c r="I513" s="3156">
        <f t="shared" si="88"/>
        <v>1</v>
      </c>
      <c r="J513" s="3430"/>
      <c r="K513" s="3156">
        <f t="shared" si="89"/>
        <v>1</v>
      </c>
      <c r="L513" s="3430"/>
      <c r="M513" s="3156">
        <f t="shared" si="90"/>
        <v>1</v>
      </c>
      <c r="N513" s="3430"/>
      <c r="O513" s="3156">
        <f t="shared" si="91"/>
        <v>1</v>
      </c>
      <c r="P513" s="3430"/>
      <c r="Q513" s="3156">
        <f t="shared" si="92"/>
        <v>1</v>
      </c>
      <c r="R513" s="3921">
        <f t="shared" si="93"/>
        <v>0</v>
      </c>
      <c r="S513" s="4017">
        <f t="shared" si="94"/>
        <v>0</v>
      </c>
    </row>
    <row r="514" spans="1:19">
      <c r="A514" s="3157"/>
      <c r="B514" s="3428"/>
      <c r="C514" s="3156">
        <f t="shared" si="85"/>
        <v>1</v>
      </c>
      <c r="D514" s="3430"/>
      <c r="E514" s="3156">
        <f t="shared" si="86"/>
        <v>0</v>
      </c>
      <c r="F514" s="3430"/>
      <c r="G514" s="3156">
        <f t="shared" si="87"/>
        <v>1</v>
      </c>
      <c r="H514" s="3430"/>
      <c r="I514" s="3156">
        <f t="shared" si="88"/>
        <v>1</v>
      </c>
      <c r="J514" s="3430"/>
      <c r="K514" s="3156">
        <f t="shared" si="89"/>
        <v>1</v>
      </c>
      <c r="L514" s="3430"/>
      <c r="M514" s="3156">
        <f t="shared" si="90"/>
        <v>1</v>
      </c>
      <c r="N514" s="3430"/>
      <c r="O514" s="3156">
        <f t="shared" si="91"/>
        <v>1</v>
      </c>
      <c r="P514" s="3430"/>
      <c r="Q514" s="3156">
        <f t="shared" si="92"/>
        <v>1</v>
      </c>
      <c r="R514" s="3921">
        <f t="shared" si="93"/>
        <v>0</v>
      </c>
      <c r="S514" s="4017">
        <f t="shared" si="94"/>
        <v>0</v>
      </c>
    </row>
    <row r="515" spans="1:19">
      <c r="A515" s="3157"/>
      <c r="B515" s="3428"/>
      <c r="C515" s="3156">
        <f t="shared" si="85"/>
        <v>1</v>
      </c>
      <c r="D515" s="3430"/>
      <c r="E515" s="3156">
        <f t="shared" si="86"/>
        <v>0</v>
      </c>
      <c r="F515" s="3430"/>
      <c r="G515" s="3156">
        <f t="shared" si="87"/>
        <v>1</v>
      </c>
      <c r="H515" s="3430"/>
      <c r="I515" s="3156">
        <f t="shared" si="88"/>
        <v>1</v>
      </c>
      <c r="J515" s="3430"/>
      <c r="K515" s="3156">
        <f t="shared" si="89"/>
        <v>1</v>
      </c>
      <c r="L515" s="3430"/>
      <c r="M515" s="3156">
        <f t="shared" si="90"/>
        <v>1</v>
      </c>
      <c r="N515" s="3430"/>
      <c r="O515" s="3156">
        <f t="shared" si="91"/>
        <v>1</v>
      </c>
      <c r="P515" s="3430"/>
      <c r="Q515" s="3156">
        <f t="shared" si="92"/>
        <v>1</v>
      </c>
      <c r="R515" s="3921">
        <f t="shared" si="93"/>
        <v>0</v>
      </c>
      <c r="S515" s="4017">
        <f t="shared" si="94"/>
        <v>0</v>
      </c>
    </row>
    <row r="516" spans="1:19">
      <c r="A516" s="3157"/>
      <c r="B516" s="3428"/>
      <c r="C516" s="3156">
        <f t="shared" si="85"/>
        <v>1</v>
      </c>
      <c r="D516" s="3430"/>
      <c r="E516" s="3156">
        <f t="shared" si="86"/>
        <v>0</v>
      </c>
      <c r="F516" s="3430"/>
      <c r="G516" s="3156">
        <f t="shared" si="87"/>
        <v>1</v>
      </c>
      <c r="H516" s="3430"/>
      <c r="I516" s="3156">
        <f t="shared" si="88"/>
        <v>1</v>
      </c>
      <c r="J516" s="3430"/>
      <c r="K516" s="3156">
        <f t="shared" si="89"/>
        <v>1</v>
      </c>
      <c r="L516" s="3430"/>
      <c r="M516" s="3156">
        <f t="shared" si="90"/>
        <v>1</v>
      </c>
      <c r="N516" s="3430"/>
      <c r="O516" s="3156">
        <f t="shared" si="91"/>
        <v>1</v>
      </c>
      <c r="P516" s="3430"/>
      <c r="Q516" s="3156">
        <f t="shared" si="92"/>
        <v>1</v>
      </c>
      <c r="R516" s="3921">
        <f t="shared" si="93"/>
        <v>0</v>
      </c>
      <c r="S516" s="4017">
        <f t="shared" si="94"/>
        <v>0</v>
      </c>
    </row>
    <row r="517" spans="1:19">
      <c r="A517" s="3157"/>
      <c r="B517" s="3428"/>
      <c r="C517" s="3156">
        <f t="shared" si="85"/>
        <v>1</v>
      </c>
      <c r="D517" s="3430"/>
      <c r="E517" s="3156">
        <f t="shared" si="86"/>
        <v>0</v>
      </c>
      <c r="F517" s="3430"/>
      <c r="G517" s="3156">
        <f t="shared" si="87"/>
        <v>1</v>
      </c>
      <c r="H517" s="3430"/>
      <c r="I517" s="3156">
        <f t="shared" si="88"/>
        <v>1</v>
      </c>
      <c r="J517" s="3430"/>
      <c r="K517" s="3156">
        <f t="shared" si="89"/>
        <v>1</v>
      </c>
      <c r="L517" s="3430"/>
      <c r="M517" s="3156">
        <f t="shared" si="90"/>
        <v>1</v>
      </c>
      <c r="N517" s="3430"/>
      <c r="O517" s="3156">
        <f t="shared" si="91"/>
        <v>1</v>
      </c>
      <c r="P517" s="3430"/>
      <c r="Q517" s="3156">
        <f t="shared" si="92"/>
        <v>1</v>
      </c>
      <c r="R517" s="3921">
        <f t="shared" si="93"/>
        <v>0</v>
      </c>
      <c r="S517" s="4017">
        <f t="shared" si="94"/>
        <v>0</v>
      </c>
    </row>
    <row r="518" spans="1:19">
      <c r="A518" s="3157"/>
      <c r="B518" s="3428"/>
      <c r="C518" s="3156">
        <f t="shared" si="85"/>
        <v>1</v>
      </c>
      <c r="D518" s="3430"/>
      <c r="E518" s="3156">
        <f t="shared" si="86"/>
        <v>0</v>
      </c>
      <c r="F518" s="3430"/>
      <c r="G518" s="3156">
        <f t="shared" si="87"/>
        <v>1</v>
      </c>
      <c r="H518" s="3430"/>
      <c r="I518" s="3156">
        <f t="shared" si="88"/>
        <v>1</v>
      </c>
      <c r="J518" s="3430"/>
      <c r="K518" s="3156">
        <f t="shared" si="89"/>
        <v>1</v>
      </c>
      <c r="L518" s="3430"/>
      <c r="M518" s="3156">
        <f t="shared" si="90"/>
        <v>1</v>
      </c>
      <c r="N518" s="3430"/>
      <c r="O518" s="3156">
        <f t="shared" si="91"/>
        <v>1</v>
      </c>
      <c r="P518" s="3430"/>
      <c r="Q518" s="3156">
        <f t="shared" si="92"/>
        <v>1</v>
      </c>
      <c r="R518" s="3921">
        <f t="shared" si="93"/>
        <v>0</v>
      </c>
      <c r="S518" s="4017">
        <f t="shared" si="94"/>
        <v>0</v>
      </c>
    </row>
    <row r="519" spans="1:19">
      <c r="A519" s="3157"/>
      <c r="B519" s="3428"/>
      <c r="C519" s="3156">
        <f t="shared" si="85"/>
        <v>1</v>
      </c>
      <c r="D519" s="3430"/>
      <c r="E519" s="3156">
        <f t="shared" si="86"/>
        <v>0</v>
      </c>
      <c r="F519" s="3430"/>
      <c r="G519" s="3156">
        <f t="shared" si="87"/>
        <v>1</v>
      </c>
      <c r="H519" s="3430"/>
      <c r="I519" s="3156">
        <f t="shared" si="88"/>
        <v>1</v>
      </c>
      <c r="J519" s="3430"/>
      <c r="K519" s="3156">
        <f t="shared" si="89"/>
        <v>1</v>
      </c>
      <c r="L519" s="3430"/>
      <c r="M519" s="3156">
        <f t="shared" si="90"/>
        <v>1</v>
      </c>
      <c r="N519" s="3430"/>
      <c r="O519" s="3156">
        <f t="shared" si="91"/>
        <v>1</v>
      </c>
      <c r="P519" s="3430"/>
      <c r="Q519" s="3156">
        <f t="shared" si="92"/>
        <v>1</v>
      </c>
      <c r="R519" s="3921">
        <f t="shared" si="93"/>
        <v>0</v>
      </c>
      <c r="S519" s="4017">
        <f t="shared" si="94"/>
        <v>0</v>
      </c>
    </row>
    <row r="520" spans="1:19">
      <c r="A520" s="3157"/>
      <c r="B520" s="3428"/>
      <c r="C520" s="3156">
        <f t="shared" si="85"/>
        <v>1</v>
      </c>
      <c r="D520" s="3430"/>
      <c r="E520" s="3156">
        <f t="shared" si="86"/>
        <v>0</v>
      </c>
      <c r="F520" s="3430"/>
      <c r="G520" s="3156">
        <f t="shared" si="87"/>
        <v>1</v>
      </c>
      <c r="H520" s="3430"/>
      <c r="I520" s="3156">
        <f t="shared" si="88"/>
        <v>1</v>
      </c>
      <c r="J520" s="3430"/>
      <c r="K520" s="3156">
        <f t="shared" si="89"/>
        <v>1</v>
      </c>
      <c r="L520" s="3430"/>
      <c r="M520" s="3156">
        <f t="shared" si="90"/>
        <v>1</v>
      </c>
      <c r="N520" s="3430"/>
      <c r="O520" s="3156">
        <f t="shared" si="91"/>
        <v>1</v>
      </c>
      <c r="P520" s="3430"/>
      <c r="Q520" s="3156">
        <f t="shared" si="92"/>
        <v>1</v>
      </c>
      <c r="R520" s="3921">
        <f t="shared" si="93"/>
        <v>0</v>
      </c>
      <c r="S520" s="4017">
        <f t="shared" si="94"/>
        <v>0</v>
      </c>
    </row>
    <row r="521" spans="1:19">
      <c r="A521" s="3157"/>
      <c r="B521" s="3428"/>
      <c r="C521" s="3156">
        <f t="shared" si="85"/>
        <v>1</v>
      </c>
      <c r="D521" s="3430"/>
      <c r="E521" s="3156">
        <f t="shared" si="86"/>
        <v>0</v>
      </c>
      <c r="F521" s="3430"/>
      <c r="G521" s="3156">
        <f t="shared" si="87"/>
        <v>1</v>
      </c>
      <c r="H521" s="3430"/>
      <c r="I521" s="3156">
        <f t="shared" si="88"/>
        <v>1</v>
      </c>
      <c r="J521" s="3430"/>
      <c r="K521" s="3156">
        <f t="shared" si="89"/>
        <v>1</v>
      </c>
      <c r="L521" s="3430"/>
      <c r="M521" s="3156">
        <f t="shared" si="90"/>
        <v>1</v>
      </c>
      <c r="N521" s="3430"/>
      <c r="O521" s="3156">
        <f t="shared" si="91"/>
        <v>1</v>
      </c>
      <c r="P521" s="3430"/>
      <c r="Q521" s="3156">
        <f t="shared" si="92"/>
        <v>1</v>
      </c>
      <c r="R521" s="3921">
        <f t="shared" si="93"/>
        <v>0</v>
      </c>
      <c r="S521" s="4017">
        <f t="shared" si="94"/>
        <v>0</v>
      </c>
    </row>
    <row r="522" spans="1:19">
      <c r="A522" s="3157"/>
      <c r="B522" s="3428"/>
      <c r="C522" s="3156">
        <f t="shared" si="85"/>
        <v>1</v>
      </c>
      <c r="D522" s="3430"/>
      <c r="E522" s="3156">
        <f t="shared" si="86"/>
        <v>0</v>
      </c>
      <c r="F522" s="3430"/>
      <c r="G522" s="3156">
        <f t="shared" si="87"/>
        <v>1</v>
      </c>
      <c r="H522" s="3430"/>
      <c r="I522" s="3156">
        <f t="shared" si="88"/>
        <v>1</v>
      </c>
      <c r="J522" s="3430"/>
      <c r="K522" s="3156">
        <f t="shared" si="89"/>
        <v>1</v>
      </c>
      <c r="L522" s="3430"/>
      <c r="M522" s="3156">
        <f t="shared" si="90"/>
        <v>1</v>
      </c>
      <c r="N522" s="3430"/>
      <c r="O522" s="3156">
        <f t="shared" si="91"/>
        <v>1</v>
      </c>
      <c r="P522" s="3430"/>
      <c r="Q522" s="3156">
        <f t="shared" si="92"/>
        <v>1</v>
      </c>
      <c r="R522" s="3921">
        <f t="shared" si="93"/>
        <v>0</v>
      </c>
      <c r="S522" s="4017">
        <f t="shared" si="94"/>
        <v>0</v>
      </c>
    </row>
    <row r="523" spans="1:19">
      <c r="A523" s="3157"/>
      <c r="B523" s="3428"/>
      <c r="C523" s="3156">
        <f t="shared" si="85"/>
        <v>1</v>
      </c>
      <c r="D523" s="3430"/>
      <c r="E523" s="3156">
        <f t="shared" si="86"/>
        <v>0</v>
      </c>
      <c r="F523" s="3430"/>
      <c r="G523" s="3156">
        <f t="shared" si="87"/>
        <v>1</v>
      </c>
      <c r="H523" s="3430"/>
      <c r="I523" s="3156">
        <f t="shared" si="88"/>
        <v>1</v>
      </c>
      <c r="J523" s="3430"/>
      <c r="K523" s="3156">
        <f t="shared" si="89"/>
        <v>1</v>
      </c>
      <c r="L523" s="3430"/>
      <c r="M523" s="3156">
        <f t="shared" si="90"/>
        <v>1</v>
      </c>
      <c r="N523" s="3430"/>
      <c r="O523" s="3156">
        <f t="shared" si="91"/>
        <v>1</v>
      </c>
      <c r="P523" s="3430"/>
      <c r="Q523" s="3156">
        <f t="shared" si="92"/>
        <v>1</v>
      </c>
      <c r="R523" s="3921">
        <f t="shared" si="93"/>
        <v>0</v>
      </c>
      <c r="S523" s="4017">
        <f t="shared" si="94"/>
        <v>0</v>
      </c>
    </row>
    <row r="524" spans="1:19">
      <c r="A524" s="3157"/>
      <c r="B524" s="3428"/>
      <c r="C524" s="3156">
        <f t="shared" si="85"/>
        <v>1</v>
      </c>
      <c r="D524" s="3430"/>
      <c r="E524" s="3156">
        <f t="shared" si="86"/>
        <v>0</v>
      </c>
      <c r="F524" s="3430"/>
      <c r="G524" s="3156">
        <f t="shared" si="87"/>
        <v>1</v>
      </c>
      <c r="H524" s="3430"/>
      <c r="I524" s="3156">
        <f t="shared" si="88"/>
        <v>1</v>
      </c>
      <c r="J524" s="3430"/>
      <c r="K524" s="3156">
        <f t="shared" si="89"/>
        <v>1</v>
      </c>
      <c r="L524" s="3430"/>
      <c r="M524" s="3156">
        <f t="shared" si="90"/>
        <v>1</v>
      </c>
      <c r="N524" s="3430"/>
      <c r="O524" s="3156">
        <f t="shared" si="91"/>
        <v>1</v>
      </c>
      <c r="P524" s="3430"/>
      <c r="Q524" s="3156">
        <f t="shared" si="92"/>
        <v>1</v>
      </c>
      <c r="R524" s="3921">
        <f t="shared" si="93"/>
        <v>0</v>
      </c>
      <c r="S524" s="4017">
        <f t="shared" si="94"/>
        <v>0</v>
      </c>
    </row>
  </sheetData>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90" zoomScaleNormal="60" zoomScaleSheetLayoutView="90" workbookViewId="0">
      <selection activeCell="C81" sqref="C81:D8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3218</v>
      </c>
      <c r="C1" s="862" t="s">
        <v>1569</v>
      </c>
      <c r="D1" s="863" t="s">
        <v>3218</v>
      </c>
      <c r="E1" s="2704" t="s">
        <v>4088</v>
      </c>
      <c r="F1" s="1453" t="s">
        <v>4089</v>
      </c>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379</v>
      </c>
      <c r="C2" s="3021" t="s">
        <v>4084</v>
      </c>
      <c r="D2" s="4050">
        <f>IF(E1="项目模式",IF(E2="——",IF(B37="元/平方米",ROUND(C39*D3/10000,0),ROUND(F3*C39/10000,0)),IF(B37="元/平方米",ROUND(C39*D3/10000,0),ROUND(F3*C39/10000,0))-F2),IF(E1="单套模式",IF(E2="——",IF(B37="元/平方米",ROUND(C39*D3/10000,0),ROUND(F3*C39/10000,0)),IF(B37="元/平方米",ROUND(C39*D3/10000,0),ROUND(F3*C39/10000,0))-F2)))</f>
        <v>379</v>
      </c>
      <c r="E2" s="1455" t="s">
        <v>41</v>
      </c>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f>IF(AND(E2="——",B37="元/平方米"),C39,ROUND(B2*10000/D3,0))</f>
        <v>89778</v>
      </c>
      <c r="C3" s="240" t="s">
        <v>1675</v>
      </c>
      <c r="D3" s="3122">
        <f>SUMIF('数据-汇总表'!$C19:$C33,D1,'数据-汇总表'!$E19:$E33)</f>
        <v>42.16</v>
      </c>
      <c r="E3" s="240" t="s">
        <v>1739</v>
      </c>
      <c r="F3" s="405">
        <f>SUMIF('数据-取费表'!A5:A15,D1,'数据-取费表'!AH5:AH15)</f>
        <v>1</v>
      </c>
      <c r="G3" s="4195" t="s">
        <v>3474</v>
      </c>
      <c r="H3" s="4196">
        <v>0.09</v>
      </c>
      <c r="I3" s="620"/>
      <c r="J3" s="620"/>
      <c r="K3" s="622"/>
      <c r="L3" s="2165"/>
      <c r="M3" s="2166">
        <f>IF(E2="——",IF(B37="元/平方米",ROUND(C39*D3/10000,0),ROUND(F3*C39/10000,0)),IF(B37="元/平方米",ROUND(C39*D3/10000,0),ROUND(F3*C39/10000,0))-F2)</f>
        <v>379</v>
      </c>
      <c r="N3" s="2166"/>
      <c r="O3" s="2166"/>
      <c r="P3" s="813"/>
      <c r="Q3" s="502"/>
      <c r="R3" s="502"/>
      <c r="S3" s="502"/>
      <c r="T3" s="502"/>
      <c r="U3" s="502"/>
      <c r="V3" s="502"/>
      <c r="W3" s="502"/>
      <c r="X3" s="502"/>
      <c r="Y3" s="502"/>
      <c r="Z3" s="502"/>
      <c r="AA3" s="502"/>
      <c r="AB3" s="512"/>
      <c r="AC3" s="510"/>
    </row>
    <row r="4" spans="1:29" ht="14.4">
      <c r="A4" s="241" t="s">
        <v>1676</v>
      </c>
      <c r="B4" s="242"/>
      <c r="C4" s="4883" t="s">
        <v>1677</v>
      </c>
      <c r="D4" s="4884"/>
      <c r="E4" s="4885" t="s">
        <v>1678</v>
      </c>
      <c r="F4" s="4886"/>
      <c r="G4" s="4883" t="s">
        <v>1679</v>
      </c>
      <c r="H4" s="4884"/>
      <c r="I4" s="4883" t="s">
        <v>1680</v>
      </c>
      <c r="J4" s="4884"/>
      <c r="K4" s="406" t="s">
        <v>1681</v>
      </c>
      <c r="L4" s="2146"/>
      <c r="M4" s="2147"/>
      <c r="N4" s="2147"/>
      <c r="O4" s="2147"/>
      <c r="P4" s="4887" t="s">
        <v>1682</v>
      </c>
      <c r="Q4" s="4888"/>
      <c r="R4" s="4893" t="s">
        <v>1678</v>
      </c>
      <c r="S4" s="4894"/>
      <c r="T4" s="4893" t="s">
        <v>1679</v>
      </c>
      <c r="U4" s="4894"/>
      <c r="V4" s="4871" t="s">
        <v>1680</v>
      </c>
      <c r="W4" s="4871"/>
      <c r="X4" s="963"/>
      <c r="Y4" s="4893" t="s">
        <v>1682</v>
      </c>
      <c r="Z4" s="4894"/>
      <c r="AA4" s="4880" t="s">
        <v>1678</v>
      </c>
      <c r="AB4" s="4881" t="s">
        <v>1679</v>
      </c>
      <c r="AC4" s="4880" t="s">
        <v>1680</v>
      </c>
    </row>
    <row r="5" spans="1:29">
      <c r="A5" s="244"/>
      <c r="B5" s="245"/>
      <c r="C5" s="4901" t="s">
        <v>4091</v>
      </c>
      <c r="D5" s="4902"/>
      <c r="E5" s="4909" t="s">
        <v>4091</v>
      </c>
      <c r="F5" s="4910"/>
      <c r="G5" s="4901" t="s">
        <v>4092</v>
      </c>
      <c r="H5" s="4902"/>
      <c r="I5" s="4901" t="s">
        <v>4101</v>
      </c>
      <c r="J5" s="4902"/>
      <c r="K5" s="406"/>
      <c r="L5" s="2146"/>
      <c r="M5" s="2147"/>
      <c r="N5" s="2147"/>
      <c r="O5" s="2147"/>
      <c r="P5" s="4889"/>
      <c r="Q5" s="4890"/>
      <c r="R5" s="4895"/>
      <c r="S5" s="4896"/>
      <c r="T5" s="4895"/>
      <c r="U5" s="4896"/>
      <c r="V5" s="4871"/>
      <c r="W5" s="4871"/>
      <c r="X5" s="963"/>
      <c r="Y5" s="4895"/>
      <c r="Z5" s="4896"/>
      <c r="AA5" s="4881"/>
      <c r="AB5" s="4881"/>
      <c r="AC5" s="4881"/>
    </row>
    <row r="6" spans="1:29" ht="15" thickBot="1">
      <c r="A6" s="246"/>
      <c r="B6" s="247"/>
      <c r="C6" s="4906" t="s">
        <v>4099</v>
      </c>
      <c r="D6" s="4900"/>
      <c r="E6" s="4907" t="s">
        <v>4100</v>
      </c>
      <c r="F6" s="4908"/>
      <c r="G6" s="4899">
        <v>-1277</v>
      </c>
      <c r="H6" s="4900"/>
      <c r="I6" s="4899" t="s">
        <v>1584</v>
      </c>
      <c r="J6" s="4900"/>
      <c r="K6" s="406" t="s">
        <v>1585</v>
      </c>
      <c r="L6" s="2146"/>
      <c r="M6" s="2147"/>
      <c r="N6" s="2147"/>
      <c r="O6" s="2147"/>
      <c r="P6" s="4891"/>
      <c r="Q6" s="4892"/>
      <c r="R6" s="4895"/>
      <c r="S6" s="4896"/>
      <c r="T6" s="4897"/>
      <c r="U6" s="4898"/>
      <c r="V6" s="4871"/>
      <c r="W6" s="4871"/>
      <c r="X6" s="963"/>
      <c r="Y6" s="4897"/>
      <c r="Z6" s="4898"/>
      <c r="AA6" s="4882"/>
      <c r="AB6" s="4882"/>
      <c r="AC6" s="4882"/>
    </row>
    <row r="7" spans="1:29" s="49" customFormat="1" ht="15" thickBot="1">
      <c r="A7" s="248" t="s">
        <v>1586</v>
      </c>
      <c r="B7" s="249"/>
      <c r="C7" s="250">
        <f>'数据-取费表'!B2</f>
        <v>46093</v>
      </c>
      <c r="D7" s="3140">
        <v>100</v>
      </c>
      <c r="E7" s="251">
        <v>46023</v>
      </c>
      <c r="F7" s="4052">
        <f>SUMIF(48:48,YEAR(E7)&amp;"-"&amp;MONTH(E7),49:49)</f>
        <v>100</v>
      </c>
      <c r="G7" s="251">
        <v>46065</v>
      </c>
      <c r="H7" s="4063">
        <f>SUMIF(48:48,YEAR(G7)&amp;"-"&amp;MONTH(G7),49:49)</f>
        <v>100</v>
      </c>
      <c r="I7" s="251">
        <v>46092</v>
      </c>
      <c r="J7" s="4063">
        <f>SUMIF(48:48,YEAR(I7)&amp;"-"&amp;MONTH(I7),49:49)</f>
        <v>100</v>
      </c>
      <c r="K7" s="407"/>
      <c r="L7" s="2148"/>
      <c r="M7" s="2149"/>
      <c r="N7" s="2149"/>
      <c r="O7" s="2149"/>
      <c r="P7" s="4903" t="s">
        <v>1587</v>
      </c>
      <c r="Q7" s="4905"/>
      <c r="R7" s="4079" t="s">
        <v>13</v>
      </c>
      <c r="S7" s="4082">
        <f t="shared" ref="S7:S14" si="0">F7</f>
        <v>100</v>
      </c>
      <c r="T7" s="4079" t="s">
        <v>13</v>
      </c>
      <c r="U7" s="4082">
        <f t="shared" ref="U7:U14" si="1">H7</f>
        <v>100</v>
      </c>
      <c r="V7" s="4079" t="s">
        <v>13</v>
      </c>
      <c r="W7" s="4082">
        <f t="shared" ref="W7:W14" si="2">J7</f>
        <v>100</v>
      </c>
      <c r="X7" s="504"/>
      <c r="Y7" s="4903" t="s">
        <v>1587</v>
      </c>
      <c r="Z7" s="4904"/>
      <c r="AA7" s="505">
        <f>D7/F7</f>
        <v>1</v>
      </c>
      <c r="AB7" s="505">
        <f>D7/H7</f>
        <v>1</v>
      </c>
      <c r="AC7" s="505">
        <f>D7/J7</f>
        <v>1</v>
      </c>
    </row>
    <row r="8" spans="1:29" s="49" customFormat="1" ht="15" thickBot="1">
      <c r="A8" s="248" t="s">
        <v>1588</v>
      </c>
      <c r="B8" s="249"/>
      <c r="C8" s="252" t="s">
        <v>4090</v>
      </c>
      <c r="D8" s="3140">
        <v>100</v>
      </c>
      <c r="E8" s="252" t="s">
        <v>4090</v>
      </c>
      <c r="F8" s="4052">
        <f>SUMIF(51:51,E8,52:52)-SUMIF(51:51,C8,52:52)+100</f>
        <v>100</v>
      </c>
      <c r="G8" s="252" t="s">
        <v>4090</v>
      </c>
      <c r="H8" s="4063">
        <f>SUMIF(51:51,G8,52:52)-SUMIF(51:51,C8,52:52)+100</f>
        <v>100</v>
      </c>
      <c r="I8" s="252" t="s">
        <v>4090</v>
      </c>
      <c r="J8" s="4063">
        <f>SUMIF(51:51,I8,52:52)-SUMIF(51:51,C8,52:52)+100</f>
        <v>100</v>
      </c>
      <c r="K8" s="407"/>
      <c r="L8" s="2148"/>
      <c r="M8" s="2149"/>
      <c r="N8" s="2149"/>
      <c r="O8" s="2149"/>
      <c r="P8" s="4903" t="s">
        <v>1590</v>
      </c>
      <c r="Q8" s="4904"/>
      <c r="R8" s="4079" t="s">
        <v>13</v>
      </c>
      <c r="S8" s="4082">
        <f t="shared" si="0"/>
        <v>100</v>
      </c>
      <c r="T8" s="4079" t="s">
        <v>13</v>
      </c>
      <c r="U8" s="4082">
        <f t="shared" si="1"/>
        <v>100</v>
      </c>
      <c r="V8" s="4079" t="s">
        <v>13</v>
      </c>
      <c r="W8" s="4082">
        <f t="shared" si="2"/>
        <v>100</v>
      </c>
      <c r="X8" s="504"/>
      <c r="Y8" s="4903" t="s">
        <v>1590</v>
      </c>
      <c r="Z8" s="4904"/>
      <c r="AA8" s="505">
        <f t="shared" ref="AA8:AA36" si="3">D8/F8</f>
        <v>1</v>
      </c>
      <c r="AB8" s="505">
        <f t="shared" ref="AB8:AB36" si="4">D8/H8</f>
        <v>1</v>
      </c>
      <c r="AC8" s="505">
        <f t="shared" ref="AC8:AC36" si="5">D8/J8</f>
        <v>1</v>
      </c>
    </row>
    <row r="9" spans="1:29" s="49" customFormat="1" ht="14.4">
      <c r="A9" s="31" t="s">
        <v>1591</v>
      </c>
      <c r="B9" s="426" t="s">
        <v>1592</v>
      </c>
      <c r="C9" s="4642" t="s">
        <v>4093</v>
      </c>
      <c r="D9" s="3141">
        <v>100</v>
      </c>
      <c r="E9" s="256" t="s">
        <v>3218</v>
      </c>
      <c r="F9" s="4053">
        <f>SUMIF(53:53,E9,54:54)-SUMIF(53:53,C9,54:54)+100</f>
        <v>100</v>
      </c>
      <c r="G9" s="255" t="s">
        <v>3218</v>
      </c>
      <c r="H9" s="4053">
        <f>SUMIF(53:53,G9,54:54)-SUMIF(53:53,C9,54:54)+100</f>
        <v>100</v>
      </c>
      <c r="I9" s="255" t="s">
        <v>3218</v>
      </c>
      <c r="J9" s="4053">
        <f>SUMIF(53:53,I9,54:54)-SUMIF(53:53,C9,54:54)+100</f>
        <v>100</v>
      </c>
      <c r="K9" s="407"/>
      <c r="L9" s="2148"/>
      <c r="M9" s="2149"/>
      <c r="N9" s="2149"/>
      <c r="O9" s="2149"/>
      <c r="P9" s="4870" t="s">
        <v>1593</v>
      </c>
      <c r="Q9" s="952" t="str">
        <f t="shared" ref="Q9:Q14" si="6">B9</f>
        <v>用途</v>
      </c>
      <c r="R9" s="4079" t="s">
        <v>13</v>
      </c>
      <c r="S9" s="4082">
        <f t="shared" si="0"/>
        <v>100</v>
      </c>
      <c r="T9" s="4079" t="s">
        <v>13</v>
      </c>
      <c r="U9" s="4082">
        <f t="shared" si="1"/>
        <v>100</v>
      </c>
      <c r="V9" s="4079" t="s">
        <v>13</v>
      </c>
      <c r="W9" s="4082">
        <f t="shared" si="2"/>
        <v>100</v>
      </c>
      <c r="X9" s="504"/>
      <c r="Y9" s="4879" t="s">
        <v>1594</v>
      </c>
      <c r="Z9" s="28" t="str">
        <f t="shared" ref="Z9:Z14" si="7">Q9</f>
        <v>用途</v>
      </c>
      <c r="AA9" s="505">
        <f t="shared" si="3"/>
        <v>1</v>
      </c>
      <c r="AB9" s="505">
        <f t="shared" si="4"/>
        <v>1</v>
      </c>
      <c r="AC9" s="505">
        <f t="shared" si="5"/>
        <v>1</v>
      </c>
    </row>
    <row r="10" spans="1:29" s="259" customFormat="1" ht="28.8">
      <c r="A10" s="427"/>
      <c r="B10" s="428" t="s">
        <v>1595</v>
      </c>
      <c r="C10" s="2705"/>
      <c r="D10" s="3142">
        <v>100</v>
      </c>
      <c r="E10" s="2705"/>
      <c r="F10" s="4054">
        <f>SUMIF(55:55,E10,56:56)-SUMIF(55:55,C10,56:56)+100</f>
        <v>100</v>
      </c>
      <c r="G10" s="2706"/>
      <c r="H10" s="4054">
        <f>SUMIF(55:55,G10,56:56)-SUMIF(55:55,C10,56:56)+100</f>
        <v>100</v>
      </c>
      <c r="I10" s="2705"/>
      <c r="J10" s="4054">
        <f>SUMIF(55:55,I10,56:56)-SUMIF(55:55,C10,56:56)+100</f>
        <v>100</v>
      </c>
      <c r="K10" s="407"/>
      <c r="L10" s="2150"/>
      <c r="M10" s="2151"/>
      <c r="N10" s="2151"/>
      <c r="O10" s="2151"/>
      <c r="P10" s="4870"/>
      <c r="Q10" s="952" t="str">
        <f t="shared" si="6"/>
        <v>土地使用年限（年）</v>
      </c>
      <c r="R10" s="4079" t="s">
        <v>13</v>
      </c>
      <c r="S10" s="4082">
        <f t="shared" si="0"/>
        <v>100</v>
      </c>
      <c r="T10" s="4079" t="s">
        <v>13</v>
      </c>
      <c r="U10" s="4082">
        <f t="shared" si="1"/>
        <v>100</v>
      </c>
      <c r="V10" s="4079" t="s">
        <v>13</v>
      </c>
      <c r="W10" s="4082">
        <f t="shared" si="2"/>
        <v>100</v>
      </c>
      <c r="X10" s="504"/>
      <c r="Y10" s="4879"/>
      <c r="Z10" s="28" t="str">
        <f t="shared" si="7"/>
        <v>土地使用年限（年）</v>
      </c>
      <c r="AA10" s="505">
        <f t="shared" si="3"/>
        <v>1</v>
      </c>
      <c r="AB10" s="505">
        <f t="shared" si="4"/>
        <v>1</v>
      </c>
      <c r="AC10" s="505">
        <f t="shared" si="5"/>
        <v>1</v>
      </c>
    </row>
    <row r="11" spans="1:29" ht="15">
      <c r="A11" s="429"/>
      <c r="B11" s="430">
        <v>111</v>
      </c>
      <c r="C11" s="264"/>
      <c r="D11" s="3142">
        <v>100</v>
      </c>
      <c r="E11" s="264"/>
      <c r="F11" s="4054">
        <f>SUMIF(57:57,E11,58:58)-SUMIF(57:57,C11,58:58)+100</f>
        <v>100</v>
      </c>
      <c r="G11" s="264"/>
      <c r="H11" s="4054">
        <f>SUMIF(57:57,G11,58:58)-SUMIF(57:57,C11,58:58)+100</f>
        <v>100</v>
      </c>
      <c r="I11" s="264"/>
      <c r="J11" s="4054">
        <f>SUMIF(57:57,I11,58:58)-SUMIF(57:57,C11,58:58)+100</f>
        <v>100</v>
      </c>
      <c r="K11" s="409"/>
      <c r="L11" s="2152"/>
      <c r="M11" s="2147"/>
      <c r="N11" s="2147"/>
      <c r="O11" s="2147"/>
      <c r="P11" s="4870"/>
      <c r="Q11" s="952">
        <f t="shared" si="6"/>
        <v>111</v>
      </c>
      <c r="R11" s="4079" t="s">
        <v>13</v>
      </c>
      <c r="S11" s="4082">
        <f t="shared" si="0"/>
        <v>100</v>
      </c>
      <c r="T11" s="4079" t="s">
        <v>13</v>
      </c>
      <c r="U11" s="4082">
        <f t="shared" si="1"/>
        <v>100</v>
      </c>
      <c r="V11" s="4079" t="s">
        <v>13</v>
      </c>
      <c r="W11" s="4082">
        <f t="shared" si="2"/>
        <v>100</v>
      </c>
      <c r="X11" s="504"/>
      <c r="Y11" s="4879"/>
      <c r="Z11" s="28">
        <f t="shared" si="7"/>
        <v>111</v>
      </c>
      <c r="AA11" s="505">
        <f t="shared" si="3"/>
        <v>1</v>
      </c>
      <c r="AB11" s="505">
        <f t="shared" si="4"/>
        <v>1</v>
      </c>
      <c r="AC11" s="505">
        <f t="shared" si="5"/>
        <v>1</v>
      </c>
    </row>
    <row r="12" spans="1:29" s="49" customFormat="1" ht="15">
      <c r="A12" s="431"/>
      <c r="B12" s="430">
        <v>111</v>
      </c>
      <c r="C12" s="264"/>
      <c r="D12" s="3143">
        <v>100</v>
      </c>
      <c r="E12" s="264"/>
      <c r="F12" s="4054">
        <f>SUMIF(59:59,E12,60:60)-SUMIF(59:59,C12,60:60)+100</f>
        <v>100</v>
      </c>
      <c r="G12" s="264"/>
      <c r="H12" s="4054">
        <f>SUMIF(59:59,G12,60:60)-SUMIF(59:59,C12,60:60)+100</f>
        <v>100</v>
      </c>
      <c r="I12" s="264"/>
      <c r="J12" s="4054">
        <f>SUMIF(59:59,I12,60:60)-SUMIF(59:59,C12,60:60)+100</f>
        <v>100</v>
      </c>
      <c r="K12" s="409"/>
      <c r="L12" s="2148"/>
      <c r="M12" s="2149"/>
      <c r="N12" s="2149"/>
      <c r="O12" s="2149"/>
      <c r="P12" s="4870"/>
      <c r="Q12" s="952">
        <f t="shared" si="6"/>
        <v>111</v>
      </c>
      <c r="R12" s="4079" t="s">
        <v>13</v>
      </c>
      <c r="S12" s="4082">
        <f t="shared" si="0"/>
        <v>100</v>
      </c>
      <c r="T12" s="4079" t="s">
        <v>13</v>
      </c>
      <c r="U12" s="4082">
        <f t="shared" si="1"/>
        <v>100</v>
      </c>
      <c r="V12" s="4079" t="s">
        <v>13</v>
      </c>
      <c r="W12" s="4082">
        <f t="shared" si="2"/>
        <v>100</v>
      </c>
      <c r="X12" s="504"/>
      <c r="Y12" s="4879"/>
      <c r="Z12" s="28">
        <f t="shared" si="7"/>
        <v>111</v>
      </c>
      <c r="AA12" s="505">
        <f>D12/F12</f>
        <v>1</v>
      </c>
      <c r="AB12" s="505">
        <f>D12/H12</f>
        <v>1</v>
      </c>
      <c r="AC12" s="505">
        <f>D12/J12</f>
        <v>1</v>
      </c>
    </row>
    <row r="13" spans="1:29" ht="15.6" thickBot="1">
      <c r="A13" s="432"/>
      <c r="B13" s="430">
        <v>111</v>
      </c>
      <c r="C13" s="265"/>
      <c r="D13" s="3144">
        <v>100</v>
      </c>
      <c r="E13" s="264"/>
      <c r="F13" s="4054">
        <f>SUMIF(61:61,E13,62:62)-SUMIF(61:61,C13,62:62)+100</f>
        <v>100</v>
      </c>
      <c r="G13" s="264"/>
      <c r="H13" s="4058">
        <f>SUMIF(61:61,G13,62:62)-SUMIF(61:61,C13,62:62)+100</f>
        <v>100</v>
      </c>
      <c r="I13" s="264"/>
      <c r="J13" s="4058">
        <f>SUMIF(61:61,I13,62:62)-SUMIF(61:61,C13,62:62)+100</f>
        <v>100</v>
      </c>
      <c r="K13" s="409"/>
      <c r="L13" s="2153"/>
      <c r="M13" s="2147"/>
      <c r="N13" s="2147"/>
      <c r="O13" s="2147"/>
      <c r="P13" s="4870"/>
      <c r="Q13" s="952">
        <f t="shared" si="6"/>
        <v>111</v>
      </c>
      <c r="R13" s="4079" t="s">
        <v>13</v>
      </c>
      <c r="S13" s="4082">
        <f t="shared" si="0"/>
        <v>100</v>
      </c>
      <c r="T13" s="4079" t="s">
        <v>13</v>
      </c>
      <c r="U13" s="4082">
        <f t="shared" si="1"/>
        <v>100</v>
      </c>
      <c r="V13" s="4079" t="s">
        <v>13</v>
      </c>
      <c r="W13" s="4082">
        <f t="shared" si="2"/>
        <v>100</v>
      </c>
      <c r="X13" s="504"/>
      <c r="Y13" s="4879"/>
      <c r="Z13" s="28">
        <f t="shared" si="7"/>
        <v>111</v>
      </c>
      <c r="AA13" s="505">
        <f t="shared" si="3"/>
        <v>1</v>
      </c>
      <c r="AB13" s="505">
        <f t="shared" si="4"/>
        <v>1</v>
      </c>
      <c r="AC13" s="505">
        <f t="shared" si="5"/>
        <v>1</v>
      </c>
    </row>
    <row r="14" spans="1:29" ht="96.6">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6">
        <f>SUMIF(63:63,E15,64:64)-SUMIF(63:63,C15,64:64)+100</f>
        <v>100</v>
      </c>
      <c r="G14" s="270"/>
      <c r="H14" s="4056">
        <f>SUMIF(63:63,G15,64:64)-SUMIF(63:63,C15,64:64)+100</f>
        <v>100</v>
      </c>
      <c r="I14" s="269"/>
      <c r="J14" s="4056">
        <f>SUMIF(63:63,I15,64:64)-SUMIF(63:63,C15,64:64)+100</f>
        <v>100</v>
      </c>
      <c r="K14" s="410"/>
      <c r="L14" s="2153"/>
      <c r="M14" s="2147"/>
      <c r="N14" s="2147"/>
      <c r="O14" s="2147"/>
      <c r="P14" s="4875" t="s">
        <v>1598</v>
      </c>
      <c r="Q14" s="960" t="str">
        <f t="shared" si="6"/>
        <v>交通便捷度</v>
      </c>
      <c r="R14" s="4080" t="s">
        <v>13</v>
      </c>
      <c r="S14" s="4083">
        <f t="shared" si="0"/>
        <v>100</v>
      </c>
      <c r="T14" s="4080" t="s">
        <v>13</v>
      </c>
      <c r="U14" s="4083">
        <f t="shared" si="1"/>
        <v>100</v>
      </c>
      <c r="V14" s="4080" t="s">
        <v>13</v>
      </c>
      <c r="W14" s="4083">
        <f t="shared" si="2"/>
        <v>100</v>
      </c>
      <c r="X14" s="963"/>
      <c r="Y14" s="4875" t="s">
        <v>1598</v>
      </c>
      <c r="Z14" s="964" t="str">
        <f t="shared" si="7"/>
        <v>交通便捷度</v>
      </c>
      <c r="AA14" s="961">
        <f t="shared" si="3"/>
        <v>1</v>
      </c>
      <c r="AB14" s="961">
        <f t="shared" si="4"/>
        <v>1</v>
      </c>
      <c r="AC14" s="961">
        <f t="shared" si="5"/>
        <v>1</v>
      </c>
    </row>
    <row r="15" spans="1:29" ht="15">
      <c r="A15" s="244"/>
      <c r="B15" s="433"/>
      <c r="C15" s="272"/>
      <c r="D15" s="3147"/>
      <c r="E15" s="272"/>
      <c r="F15" s="4067"/>
      <c r="G15" s="272"/>
      <c r="H15" s="274"/>
      <c r="I15" s="272"/>
      <c r="J15" s="273"/>
      <c r="K15" s="411"/>
      <c r="L15" s="2153"/>
      <c r="M15" s="2147"/>
      <c r="N15" s="2147"/>
      <c r="O15" s="2147"/>
      <c r="P15" s="4876"/>
      <c r="Q15" s="960"/>
      <c r="R15" s="4080"/>
      <c r="S15" s="4083"/>
      <c r="T15" s="4080"/>
      <c r="U15" s="4083"/>
      <c r="V15" s="4080"/>
      <c r="W15" s="4083"/>
      <c r="X15" s="963"/>
      <c r="Y15" s="4876"/>
      <c r="Z15" s="964"/>
      <c r="AA15" s="961">
        <v>1</v>
      </c>
      <c r="AB15" s="961">
        <v>1</v>
      </c>
      <c r="AC15" s="961">
        <v>1</v>
      </c>
    </row>
    <row r="16" spans="1:29" ht="41.4">
      <c r="A16" s="244"/>
      <c r="B16" s="419" t="s">
        <v>1719</v>
      </c>
      <c r="C16" s="1466" t="str">
        <f>IF(B1="工业",估价对象房地状况!G5,估价对象房地状况!C7)</f>
        <v>估价对象所在区域公共配套设施齐备情况</v>
      </c>
      <c r="D16" s="3149">
        <v>100</v>
      </c>
      <c r="E16" s="279"/>
      <c r="F16" s="4069">
        <f>SUMIF(65:65,E17,66:66)-SUMIF(65:65,C17,66:66)+100</f>
        <v>100</v>
      </c>
      <c r="G16" s="280"/>
      <c r="H16" s="4057">
        <f>SUMIF(65:65,G17,66:66)-SUMIF(65:65,C17,66:66)+100</f>
        <v>100</v>
      </c>
      <c r="I16" s="279"/>
      <c r="J16" s="4057">
        <f>SUMIF(65:65,I17,66:66)-SUMIF(65:65,C17,66:66)+100</f>
        <v>100</v>
      </c>
      <c r="K16" s="410"/>
      <c r="L16" s="2153"/>
      <c r="M16" s="2147"/>
      <c r="N16" s="2147"/>
      <c r="O16" s="2147"/>
      <c r="P16" s="4876"/>
      <c r="Q16" s="960" t="str">
        <f>B16</f>
        <v>公共配套设施</v>
      </c>
      <c r="R16" s="4080" t="s">
        <v>13</v>
      </c>
      <c r="S16" s="4083">
        <f>F16</f>
        <v>100</v>
      </c>
      <c r="T16" s="4080" t="s">
        <v>13</v>
      </c>
      <c r="U16" s="4083">
        <f>H16</f>
        <v>100</v>
      </c>
      <c r="V16" s="4080" t="s">
        <v>13</v>
      </c>
      <c r="W16" s="4083">
        <f>J16</f>
        <v>100</v>
      </c>
      <c r="X16" s="963"/>
      <c r="Y16" s="4876"/>
      <c r="Z16" s="964" t="str">
        <f>Q16</f>
        <v>公共配套设施</v>
      </c>
      <c r="AA16" s="961">
        <f t="shared" si="3"/>
        <v>1</v>
      </c>
      <c r="AB16" s="961">
        <f t="shared" si="4"/>
        <v>1</v>
      </c>
      <c r="AC16" s="961">
        <f t="shared" si="5"/>
        <v>1</v>
      </c>
    </row>
    <row r="17" spans="1:29" ht="15">
      <c r="A17" s="244"/>
      <c r="B17" s="420"/>
      <c r="C17" s="1467"/>
      <c r="D17" s="3147"/>
      <c r="E17" s="272"/>
      <c r="F17" s="4067"/>
      <c r="G17" s="272"/>
      <c r="H17" s="273"/>
      <c r="I17" s="272"/>
      <c r="J17" s="273"/>
      <c r="K17" s="411"/>
      <c r="L17" s="2153"/>
      <c r="M17" s="2147"/>
      <c r="N17" s="2147"/>
      <c r="O17" s="2147"/>
      <c r="P17" s="4876"/>
      <c r="Q17" s="960"/>
      <c r="R17" s="4080"/>
      <c r="S17" s="4083"/>
      <c r="T17" s="4080"/>
      <c r="U17" s="4083"/>
      <c r="V17" s="4080"/>
      <c r="W17" s="4083"/>
      <c r="X17" s="963"/>
      <c r="Y17" s="4876"/>
      <c r="Z17" s="964"/>
      <c r="AA17" s="961">
        <v>1</v>
      </c>
      <c r="AB17" s="961">
        <v>1</v>
      </c>
      <c r="AC17" s="961">
        <v>1</v>
      </c>
    </row>
    <row r="18" spans="1:29" ht="41.4">
      <c r="A18" s="244"/>
      <c r="B18" s="421" t="s">
        <v>1720</v>
      </c>
      <c r="C18" s="1466" t="str">
        <f>IF(B1="工业",估价对象房地状况!G6,估价对象房地状况!C8)</f>
        <v>估价对象所在区域基础设施水平</v>
      </c>
      <c r="D18" s="3148">
        <v>100</v>
      </c>
      <c r="E18" s="276"/>
      <c r="F18" s="4069">
        <f>SUMIF(67:67,E19,68:68)-SUMIF(67:67,C19,68:68)+100</f>
        <v>100</v>
      </c>
      <c r="G18" s="277"/>
      <c r="H18" s="4057">
        <f>SUMIF(67:67,G19,68:68)-SUMIF(67:67,C19,68:68)+100</f>
        <v>100</v>
      </c>
      <c r="I18" s="276"/>
      <c r="J18" s="4057">
        <f>SUMIF(67:67,I19,68:68)-SUMIF(67:67,C19,68:68)+100</f>
        <v>100</v>
      </c>
      <c r="K18" s="410"/>
      <c r="L18" s="2153"/>
      <c r="M18" s="2147"/>
      <c r="N18" s="2147"/>
      <c r="O18" s="2147"/>
      <c r="P18" s="4876"/>
      <c r="Q18" s="960" t="str">
        <f>B18</f>
        <v>基础设施水平</v>
      </c>
      <c r="R18" s="4080" t="s">
        <v>13</v>
      </c>
      <c r="S18" s="4083">
        <f>F18</f>
        <v>100</v>
      </c>
      <c r="T18" s="4080" t="s">
        <v>13</v>
      </c>
      <c r="U18" s="4083">
        <f>H18</f>
        <v>100</v>
      </c>
      <c r="V18" s="4080" t="s">
        <v>13</v>
      </c>
      <c r="W18" s="4083">
        <f>J18</f>
        <v>100</v>
      </c>
      <c r="X18" s="963"/>
      <c r="Y18" s="4876"/>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8"/>
      <c r="G19" s="1467"/>
      <c r="H19" s="273"/>
      <c r="I19" s="272"/>
      <c r="J19" s="273"/>
      <c r="K19" s="799"/>
      <c r="L19" s="2153"/>
      <c r="M19" s="2147"/>
      <c r="N19" s="2147"/>
      <c r="O19" s="2147"/>
      <c r="P19" s="4876"/>
      <c r="Q19" s="960"/>
      <c r="R19" s="4080"/>
      <c r="S19" s="4083"/>
      <c r="T19" s="4080"/>
      <c r="U19" s="4083"/>
      <c r="V19" s="4080"/>
      <c r="W19" s="4083"/>
      <c r="X19" s="963"/>
      <c r="Y19" s="4876"/>
      <c r="Z19" s="964"/>
      <c r="AA19" s="961">
        <v>1</v>
      </c>
      <c r="AB19" s="961">
        <v>1</v>
      </c>
      <c r="AC19" s="961">
        <v>1</v>
      </c>
    </row>
    <row r="20" spans="1:29" ht="55.2">
      <c r="A20" s="244"/>
      <c r="B20" s="419" t="s">
        <v>1741</v>
      </c>
      <c r="C20" s="1466" t="str">
        <f>IF(B1="工业",估价对象房地状况!G7,估价对象房地状况!C9)</f>
        <v>区域自然环境：；人文环境；综合评价环境状况一般</v>
      </c>
      <c r="D20" s="3149">
        <v>100</v>
      </c>
      <c r="E20" s="279"/>
      <c r="F20" s="4069">
        <f>SUMIF(69:69,E21,70:70)-SUMIF(69:69,C21,70:70)+100</f>
        <v>100</v>
      </c>
      <c r="G20" s="280"/>
      <c r="H20" s="274">
        <f>SUMIF(69:69,G21,70:70)-SUMIF(69:69,C21,70:70)+100</f>
        <v>100</v>
      </c>
      <c r="I20" s="276"/>
      <c r="J20" s="274">
        <f>SUMIF(69:69,I21,70:70)-SUMIF(69:69,C21,70:70)+100</f>
        <v>100</v>
      </c>
      <c r="K20" s="410"/>
      <c r="L20" s="2153"/>
      <c r="M20" s="2147"/>
      <c r="N20" s="2147"/>
      <c r="O20" s="2147"/>
      <c r="P20" s="4876"/>
      <c r="Q20" s="960" t="str">
        <f>B20</f>
        <v>自然及人文环境</v>
      </c>
      <c r="R20" s="4080" t="s">
        <v>13</v>
      </c>
      <c r="S20" s="4083">
        <f>F20</f>
        <v>100</v>
      </c>
      <c r="T20" s="4080" t="s">
        <v>13</v>
      </c>
      <c r="U20" s="4083">
        <f>H20</f>
        <v>100</v>
      </c>
      <c r="V20" s="4080" t="s">
        <v>13</v>
      </c>
      <c r="W20" s="4083">
        <f>J20</f>
        <v>100</v>
      </c>
      <c r="X20" s="963"/>
      <c r="Y20" s="4876"/>
      <c r="Z20" s="964" t="str">
        <f>Q20</f>
        <v>自然及人文环境</v>
      </c>
      <c r="AA20" s="961">
        <f t="shared" si="3"/>
        <v>1</v>
      </c>
      <c r="AB20" s="961">
        <f t="shared" si="4"/>
        <v>1</v>
      </c>
      <c r="AC20" s="961">
        <f t="shared" si="5"/>
        <v>1</v>
      </c>
    </row>
    <row r="21" spans="1:29" ht="15">
      <c r="A21" s="244"/>
      <c r="B21" s="420"/>
      <c r="C21" s="272"/>
      <c r="D21" s="3147"/>
      <c r="E21" s="272"/>
      <c r="F21" s="4067"/>
      <c r="G21" s="272"/>
      <c r="H21" s="273"/>
      <c r="I21" s="272"/>
      <c r="J21" s="273"/>
      <c r="K21" s="411"/>
      <c r="L21" s="2153"/>
      <c r="M21" s="2147"/>
      <c r="N21" s="2147"/>
      <c r="O21" s="2147"/>
      <c r="P21" s="4876"/>
      <c r="Q21" s="960"/>
      <c r="R21" s="4080"/>
      <c r="S21" s="4083"/>
      <c r="T21" s="4080"/>
      <c r="U21" s="4083"/>
      <c r="V21" s="4080"/>
      <c r="W21" s="4083"/>
      <c r="X21" s="963"/>
      <c r="Y21" s="4876"/>
      <c r="Z21" s="964"/>
      <c r="AA21" s="961">
        <v>1</v>
      </c>
      <c r="AB21" s="961">
        <v>1</v>
      </c>
      <c r="AC21" s="961">
        <v>1</v>
      </c>
    </row>
    <row r="22" spans="1:29" ht="15">
      <c r="A22" s="244"/>
      <c r="B22" s="419" t="s">
        <v>1742</v>
      </c>
      <c r="C22" s="412" t="s">
        <v>4094</v>
      </c>
      <c r="D22" s="3148">
        <v>100</v>
      </c>
      <c r="E22" s="412" t="s">
        <v>4097</v>
      </c>
      <c r="F22" s="4060">
        <f>SUMIF(71:71,E22,72:72)-SUMIF(71:71,C22,72:72)+100</f>
        <v>96</v>
      </c>
      <c r="G22" s="412" t="s">
        <v>4094</v>
      </c>
      <c r="H22" s="4058">
        <f>SUMIF(71:71,G22,72:72)-SUMIF(71:71,C22,72:72)+100</f>
        <v>100</v>
      </c>
      <c r="I22" s="412" t="s">
        <v>4094</v>
      </c>
      <c r="J22" s="4058">
        <f>SUMIF(71:71,I22,72:72)-SUMIF(71:71,C22,72:72)+100</f>
        <v>100</v>
      </c>
      <c r="K22" s="408">
        <v>2</v>
      </c>
      <c r="L22" s="2153"/>
      <c r="M22" s="2147"/>
      <c r="N22" s="2147"/>
      <c r="O22" s="2147"/>
      <c r="P22" s="4876"/>
      <c r="Q22" s="960" t="str">
        <f>B22</f>
        <v>楼层</v>
      </c>
      <c r="R22" s="4080" t="s">
        <v>13</v>
      </c>
      <c r="S22" s="4083">
        <f>F22</f>
        <v>96</v>
      </c>
      <c r="T22" s="4080" t="s">
        <v>13</v>
      </c>
      <c r="U22" s="4083">
        <f>H22</f>
        <v>100</v>
      </c>
      <c r="V22" s="4080" t="s">
        <v>13</v>
      </c>
      <c r="W22" s="4083">
        <f>J22</f>
        <v>100</v>
      </c>
      <c r="X22" s="963"/>
      <c r="Y22" s="4876"/>
      <c r="Z22" s="964" t="str">
        <f>Q22</f>
        <v>楼层</v>
      </c>
      <c r="AA22" s="961">
        <f t="shared" si="3"/>
        <v>1.0416666666666667</v>
      </c>
      <c r="AB22" s="961">
        <f t="shared" si="4"/>
        <v>1</v>
      </c>
      <c r="AC22" s="961">
        <f t="shared" si="5"/>
        <v>1</v>
      </c>
    </row>
    <row r="23" spans="1:29" ht="15">
      <c r="A23" s="244"/>
      <c r="B23" s="434">
        <v>111</v>
      </c>
      <c r="C23" s="264"/>
      <c r="D23" s="3144">
        <v>100</v>
      </c>
      <c r="E23" s="264"/>
      <c r="F23" s="4060">
        <f>SUMIF(73:73,E23,74:74)-SUMIF(73:73,C23,74:74)+100</f>
        <v>100</v>
      </c>
      <c r="G23" s="264"/>
      <c r="H23" s="4058">
        <f>SUMIF(73:73,G23,74:74)-SUMIF(73:73,C23,74:74)+100</f>
        <v>100</v>
      </c>
      <c r="I23" s="264"/>
      <c r="J23" s="4058">
        <f>SUMIF(73:73,I23,74:74)-SUMIF(73:73,C23,74:74)+100</f>
        <v>100</v>
      </c>
      <c r="K23" s="409"/>
      <c r="L23" s="2153"/>
      <c r="M23" s="2147"/>
      <c r="N23" s="2147"/>
      <c r="O23" s="2147"/>
      <c r="P23" s="4876"/>
      <c r="Q23" s="960">
        <f>B23</f>
        <v>111</v>
      </c>
      <c r="R23" s="4080" t="s">
        <v>13</v>
      </c>
      <c r="S23" s="4083">
        <f>F23</f>
        <v>100</v>
      </c>
      <c r="T23" s="4080" t="s">
        <v>13</v>
      </c>
      <c r="U23" s="4083">
        <f>H23</f>
        <v>100</v>
      </c>
      <c r="V23" s="4080" t="s">
        <v>13</v>
      </c>
      <c r="W23" s="4083">
        <f>J23</f>
        <v>100</v>
      </c>
      <c r="X23" s="963"/>
      <c r="Y23" s="4876"/>
      <c r="Z23" s="964">
        <f>Q23</f>
        <v>111</v>
      </c>
      <c r="AA23" s="961">
        <f t="shared" si="3"/>
        <v>1</v>
      </c>
      <c r="AB23" s="961">
        <f t="shared" si="4"/>
        <v>1</v>
      </c>
      <c r="AC23" s="961">
        <f t="shared" si="5"/>
        <v>1</v>
      </c>
    </row>
    <row r="24" spans="1:29" ht="15">
      <c r="A24" s="244"/>
      <c r="B24" s="434">
        <v>111</v>
      </c>
      <c r="C24" s="264"/>
      <c r="D24" s="3144">
        <v>100</v>
      </c>
      <c r="E24" s="264"/>
      <c r="F24" s="4060">
        <f>SUMIF(75:75,E24,76:76)-SUMIF(75:75,C24,76:76)+100</f>
        <v>100</v>
      </c>
      <c r="G24" s="264"/>
      <c r="H24" s="4058">
        <f>SUMIF(75:75,G24,76:76)-SUMIF(75:75,C24,76:76)+100</f>
        <v>100</v>
      </c>
      <c r="I24" s="264"/>
      <c r="J24" s="4058">
        <f>SUMIF(75:75,I24,76:76)-SUMIF(75:75,C24,76:76)+100</f>
        <v>100</v>
      </c>
      <c r="K24" s="409"/>
      <c r="L24" s="2153"/>
      <c r="M24" s="2147"/>
      <c r="N24" s="2147"/>
      <c r="O24" s="2147"/>
      <c r="P24" s="4876"/>
      <c r="Q24" s="960">
        <f t="shared" ref="Q24:Q36" si="11">B24</f>
        <v>111</v>
      </c>
      <c r="R24" s="4080" t="s">
        <v>13</v>
      </c>
      <c r="S24" s="4083">
        <f>F24</f>
        <v>100</v>
      </c>
      <c r="T24" s="4080" t="s">
        <v>13</v>
      </c>
      <c r="U24" s="4083">
        <f>H24</f>
        <v>100</v>
      </c>
      <c r="V24" s="4080" t="s">
        <v>13</v>
      </c>
      <c r="W24" s="4083">
        <f>J24</f>
        <v>100</v>
      </c>
      <c r="X24" s="963"/>
      <c r="Y24" s="4876"/>
      <c r="Z24" s="964">
        <f>Q24</f>
        <v>111</v>
      </c>
      <c r="AA24" s="961">
        <f t="shared" si="3"/>
        <v>1</v>
      </c>
      <c r="AB24" s="961">
        <f t="shared" si="4"/>
        <v>1</v>
      </c>
      <c r="AC24" s="961">
        <f t="shared" si="5"/>
        <v>1</v>
      </c>
    </row>
    <row r="25" spans="1:29" s="49" customFormat="1" ht="15.6" thickBot="1">
      <c r="A25" s="435"/>
      <c r="B25" s="423">
        <v>111</v>
      </c>
      <c r="C25" s="267"/>
      <c r="D25" s="3152">
        <v>100</v>
      </c>
      <c r="E25" s="416"/>
      <c r="F25" s="4077">
        <f>SUMIF(77:77,E25,78:78)-SUMIF(77:77,C25,78:78)+100</f>
        <v>100</v>
      </c>
      <c r="G25" s="416"/>
      <c r="H25" s="4078">
        <f>SUMIF(77:77,G25,78:78)-SUMIF(77:77,C25,78:78)+100</f>
        <v>100</v>
      </c>
      <c r="I25" s="416"/>
      <c r="J25" s="4078">
        <f>SUMIF(77:77,I25,78:78)-SUMIF(77:77,C25,78:78)+100</f>
        <v>100</v>
      </c>
      <c r="K25" s="409"/>
      <c r="L25" s="2148"/>
      <c r="M25" s="2149"/>
      <c r="N25" s="2149"/>
      <c r="O25" s="2149"/>
      <c r="P25" s="4876"/>
      <c r="Q25" s="952">
        <f t="shared" si="11"/>
        <v>111</v>
      </c>
      <c r="R25" s="4079" t="s">
        <v>13</v>
      </c>
      <c r="S25" s="4082">
        <f>F25</f>
        <v>100</v>
      </c>
      <c r="T25" s="4079" t="s">
        <v>13</v>
      </c>
      <c r="U25" s="4082">
        <f>H25</f>
        <v>100</v>
      </c>
      <c r="V25" s="4079" t="s">
        <v>13</v>
      </c>
      <c r="W25" s="4082">
        <f>J25</f>
        <v>100</v>
      </c>
      <c r="X25" s="504"/>
      <c r="Y25" s="4876"/>
      <c r="Z25" s="28">
        <f>Q25</f>
        <v>111</v>
      </c>
      <c r="AA25" s="961">
        <f>D25/F25</f>
        <v>1</v>
      </c>
      <c r="AB25" s="961">
        <f>D25/H25</f>
        <v>1</v>
      </c>
      <c r="AC25" s="961">
        <f>D25/J25</f>
        <v>1</v>
      </c>
    </row>
    <row r="26" spans="1:29" ht="30">
      <c r="A26" s="436" t="s">
        <v>1601</v>
      </c>
      <c r="B26" s="33" t="s">
        <v>1743</v>
      </c>
      <c r="C26" s="1531" t="str">
        <f>B1</f>
        <v>车库</v>
      </c>
      <c r="D26" s="3147">
        <v>100</v>
      </c>
      <c r="E26" s="272" t="s">
        <v>3218</v>
      </c>
      <c r="F26" s="4067">
        <f>SUMIF(79:79,E26,80:80)-SUMIF(79:79,C26,80:80)+100</f>
        <v>100</v>
      </c>
      <c r="G26" s="272" t="s">
        <v>3218</v>
      </c>
      <c r="H26" s="273">
        <f>SUMIF(79:79,G26,80:80)-SUMIF(79:79,C26,80:80)+100</f>
        <v>100</v>
      </c>
      <c r="I26" s="272" t="s">
        <v>3218</v>
      </c>
      <c r="J26" s="273">
        <f>SUMIF(79:79,I26,80:80)-SUMIF(79:79,C26,80:80)+100</f>
        <v>100</v>
      </c>
      <c r="K26" s="408"/>
      <c r="L26" s="2153"/>
      <c r="M26" s="2147"/>
      <c r="N26" s="2147"/>
      <c r="O26" s="2147"/>
      <c r="P26" s="4877" t="s">
        <v>1603</v>
      </c>
      <c r="Q26" s="960" t="str">
        <f t="shared" si="11"/>
        <v>配套类型</v>
      </c>
      <c r="R26" s="4080" t="s">
        <v>13</v>
      </c>
      <c r="S26" s="4083">
        <f t="shared" ref="S26:S36" si="12">F26</f>
        <v>100</v>
      </c>
      <c r="T26" s="4080" t="s">
        <v>13</v>
      </c>
      <c r="U26" s="4083">
        <f t="shared" ref="U26:U36" si="13">H26</f>
        <v>100</v>
      </c>
      <c r="V26" s="4080" t="s">
        <v>13</v>
      </c>
      <c r="W26" s="4083">
        <f t="shared" ref="W26:W36" si="14">J26</f>
        <v>100</v>
      </c>
      <c r="X26" s="963"/>
      <c r="Y26" s="4878" t="s">
        <v>1603</v>
      </c>
      <c r="Z26" s="964" t="str">
        <f t="shared" ref="Z26:Z36" si="15">Q26</f>
        <v>配套类型</v>
      </c>
      <c r="AA26" s="961">
        <f t="shared" si="3"/>
        <v>1</v>
      </c>
      <c r="AB26" s="961">
        <f t="shared" si="4"/>
        <v>1</v>
      </c>
      <c r="AC26" s="961">
        <f t="shared" si="5"/>
        <v>1</v>
      </c>
    </row>
    <row r="27" spans="1:29" s="285" customFormat="1" ht="15">
      <c r="A27" s="437"/>
      <c r="B27" s="438" t="s">
        <v>1744</v>
      </c>
      <c r="C27" s="439" t="s">
        <v>4102</v>
      </c>
      <c r="D27" s="3142">
        <v>100</v>
      </c>
      <c r="E27" s="439" t="s">
        <v>4103</v>
      </c>
      <c r="F27" s="4060">
        <f>SUMIF(81:81,E27,82:82)-SUMIF(81:81,C27,82:82)+100</f>
        <v>100</v>
      </c>
      <c r="G27" s="439" t="s">
        <v>4104</v>
      </c>
      <c r="H27" s="4058">
        <f>SUMIF(81:81,G27,82:82)-SUMIF(81:81,C27,82:82)+100</f>
        <v>105</v>
      </c>
      <c r="I27" s="439" t="s">
        <v>4104</v>
      </c>
      <c r="J27" s="4058">
        <f>SUMIF(81:81,I27,82:82)-SUMIF(81:81,C27,82:82)+100</f>
        <v>105</v>
      </c>
      <c r="K27" s="409"/>
      <c r="L27" s="2152"/>
      <c r="M27" s="2154"/>
      <c r="N27" s="2154"/>
      <c r="O27" s="2154"/>
      <c r="P27" s="4878"/>
      <c r="Q27" s="506" t="str">
        <f t="shared" si="11"/>
        <v>项目停车位配比</v>
      </c>
      <c r="R27" s="4081" t="s">
        <v>13</v>
      </c>
      <c r="S27" s="4084">
        <f t="shared" si="12"/>
        <v>100</v>
      </c>
      <c r="T27" s="4081" t="s">
        <v>13</v>
      </c>
      <c r="U27" s="4084">
        <f t="shared" si="13"/>
        <v>105</v>
      </c>
      <c r="V27" s="4081" t="s">
        <v>13</v>
      </c>
      <c r="W27" s="4084">
        <f t="shared" si="14"/>
        <v>105</v>
      </c>
      <c r="X27" s="507"/>
      <c r="Y27" s="4878"/>
      <c r="Z27" s="508" t="str">
        <f t="shared" si="15"/>
        <v>项目停车位配比</v>
      </c>
      <c r="AA27" s="961">
        <f t="shared" si="3"/>
        <v>1</v>
      </c>
      <c r="AB27" s="961">
        <f t="shared" si="4"/>
        <v>0.95238095238095233</v>
      </c>
      <c r="AC27" s="961">
        <f t="shared" si="5"/>
        <v>0.95238095238095233</v>
      </c>
    </row>
    <row r="28" spans="1:29" ht="15">
      <c r="A28" s="440"/>
      <c r="B28" s="438" t="s">
        <v>1745</v>
      </c>
      <c r="C28" s="281"/>
      <c r="D28" s="3144">
        <v>100</v>
      </c>
      <c r="E28" s="281"/>
      <c r="F28" s="4060">
        <f>SUMIF(83:83,E28,84:84)-SUMIF(83:83,C28,84:84)+100</f>
        <v>100</v>
      </c>
      <c r="G28" s="281"/>
      <c r="H28" s="4058">
        <f>SUMIF(83:83,G28,84:84)-SUMIF(83:83,C28,84:84)+100</f>
        <v>100</v>
      </c>
      <c r="I28" s="281"/>
      <c r="J28" s="4058">
        <f>SUMIF(83:83,I28,84:84)-SUMIF(83:83,C28,84:84)+100</f>
        <v>100</v>
      </c>
      <c r="K28" s="408"/>
      <c r="L28" s="2153"/>
      <c r="M28" s="2147"/>
      <c r="N28" s="2147"/>
      <c r="O28" s="2147"/>
      <c r="P28" s="4878"/>
      <c r="Q28" s="960" t="str">
        <f t="shared" si="11"/>
        <v>公共部分装修</v>
      </c>
      <c r="R28" s="4080" t="s">
        <v>13</v>
      </c>
      <c r="S28" s="4083">
        <f t="shared" si="12"/>
        <v>100</v>
      </c>
      <c r="T28" s="4080" t="s">
        <v>13</v>
      </c>
      <c r="U28" s="4083">
        <f t="shared" si="13"/>
        <v>100</v>
      </c>
      <c r="V28" s="4080" t="s">
        <v>13</v>
      </c>
      <c r="W28" s="4083">
        <f t="shared" si="14"/>
        <v>100</v>
      </c>
      <c r="X28" s="963"/>
      <c r="Y28" s="4878"/>
      <c r="Z28" s="964" t="str">
        <f t="shared" si="15"/>
        <v>公共部分装修</v>
      </c>
      <c r="AA28" s="961">
        <f t="shared" si="3"/>
        <v>1</v>
      </c>
      <c r="AB28" s="961">
        <f t="shared" si="4"/>
        <v>1</v>
      </c>
      <c r="AC28" s="961">
        <f t="shared" si="5"/>
        <v>1</v>
      </c>
    </row>
    <row r="29" spans="1:29" ht="15">
      <c r="A29" s="440"/>
      <c r="B29" s="438" t="s">
        <v>1746</v>
      </c>
      <c r="C29" s="288">
        <v>0.9</v>
      </c>
      <c r="D29" s="3144">
        <v>100</v>
      </c>
      <c r="E29" s="288">
        <v>0.9</v>
      </c>
      <c r="F29" s="4060">
        <f>LOOKUP(E29,86:86,87:87)-LOOKUP(C29,86:86,87:87)+100</f>
        <v>100</v>
      </c>
      <c r="G29" s="288">
        <v>0.95</v>
      </c>
      <c r="H29" s="4060">
        <f>LOOKUP(G29,86:86,87:87)-LOOKUP(C29,86:86,87:87)+100</f>
        <v>110</v>
      </c>
      <c r="I29" s="288">
        <v>0.95</v>
      </c>
      <c r="J29" s="4058">
        <f>LOOKUP(I29,86:86,87:87)-LOOKUP(C29,86:86,87:87)+100</f>
        <v>110</v>
      </c>
      <c r="K29" s="408">
        <v>10</v>
      </c>
      <c r="L29" s="2153"/>
      <c r="M29" s="2147"/>
      <c r="N29" s="2147"/>
      <c r="O29" s="2147"/>
      <c r="P29" s="4878"/>
      <c r="Q29" s="960" t="str">
        <f t="shared" si="11"/>
        <v>成新率</v>
      </c>
      <c r="R29" s="4080" t="s">
        <v>13</v>
      </c>
      <c r="S29" s="4083">
        <f t="shared" si="12"/>
        <v>100</v>
      </c>
      <c r="T29" s="4080" t="s">
        <v>13</v>
      </c>
      <c r="U29" s="4083">
        <f t="shared" si="13"/>
        <v>110</v>
      </c>
      <c r="V29" s="4080" t="s">
        <v>13</v>
      </c>
      <c r="W29" s="4083">
        <f t="shared" si="14"/>
        <v>110</v>
      </c>
      <c r="X29" s="963"/>
      <c r="Y29" s="4878"/>
      <c r="Z29" s="964" t="str">
        <f t="shared" si="15"/>
        <v>成新率</v>
      </c>
      <c r="AA29" s="961">
        <f t="shared" si="3"/>
        <v>1</v>
      </c>
      <c r="AB29" s="961">
        <f t="shared" si="4"/>
        <v>0.90909090909090906</v>
      </c>
      <c r="AC29" s="961">
        <f t="shared" si="5"/>
        <v>0.90909090909090906</v>
      </c>
    </row>
    <row r="30" spans="1:29" ht="15">
      <c r="A30" s="440"/>
      <c r="B30" s="438" t="s">
        <v>1747</v>
      </c>
      <c r="C30" s="441"/>
      <c r="D30" s="3144">
        <v>100</v>
      </c>
      <c r="E30" s="441"/>
      <c r="F30" s="4060">
        <f>SUMIF(88:88,E30,89:89)-SUMIF(88:88,C30,89:89)+100</f>
        <v>100</v>
      </c>
      <c r="G30" s="441"/>
      <c r="H30" s="4058">
        <f>SUMIF(88:88,E30,89:89)-SUMIF(88:88,C30,89:89)+100</f>
        <v>100</v>
      </c>
      <c r="I30" s="441"/>
      <c r="J30" s="4058">
        <f>SUMIF(88:88,E30,89:89)-SUMIF(88:88,C30,89:89)+100</f>
        <v>100</v>
      </c>
      <c r="K30" s="408"/>
      <c r="L30" s="2153"/>
      <c r="M30" s="2147"/>
      <c r="N30" s="2147"/>
      <c r="O30" s="2147"/>
      <c r="P30" s="4878"/>
      <c r="Q30" s="960" t="str">
        <f t="shared" si="11"/>
        <v>物业等级</v>
      </c>
      <c r="R30" s="4080" t="s">
        <v>13</v>
      </c>
      <c r="S30" s="4083">
        <f t="shared" si="12"/>
        <v>100</v>
      </c>
      <c r="T30" s="4080" t="s">
        <v>13</v>
      </c>
      <c r="U30" s="4083">
        <f t="shared" si="13"/>
        <v>100</v>
      </c>
      <c r="V30" s="4080" t="s">
        <v>13</v>
      </c>
      <c r="W30" s="4083">
        <f t="shared" si="14"/>
        <v>100</v>
      </c>
      <c r="X30" s="963"/>
      <c r="Y30" s="4878"/>
      <c r="Z30" s="964" t="str">
        <f t="shared" si="15"/>
        <v>物业等级</v>
      </c>
      <c r="AA30" s="961">
        <f t="shared" si="3"/>
        <v>1</v>
      </c>
      <c r="AB30" s="961">
        <f t="shared" si="4"/>
        <v>1</v>
      </c>
      <c r="AC30" s="961">
        <f t="shared" si="5"/>
        <v>1</v>
      </c>
    </row>
    <row r="31" spans="1:29" s="49" customFormat="1" ht="15">
      <c r="A31" s="442"/>
      <c r="B31" s="438" t="s">
        <v>1748</v>
      </c>
      <c r="C31" s="284">
        <f>'数据-基础表'!I13</f>
        <v>42.16</v>
      </c>
      <c r="D31" s="3142">
        <v>100</v>
      </c>
      <c r="E31" s="284">
        <v>42.16</v>
      </c>
      <c r="F31" s="4060">
        <f>LOOKUP(E31,91:91,92:92)-LOOKUP(C31,91:91,92:92)+100</f>
        <v>100</v>
      </c>
      <c r="G31" s="284">
        <v>27.62</v>
      </c>
      <c r="H31" s="4058">
        <f>LOOKUP(G31,91:91,92:92)-LOOKUP(C31,91:91,92:92)+100</f>
        <v>100</v>
      </c>
      <c r="I31" s="284">
        <v>28.79</v>
      </c>
      <c r="J31" s="4058">
        <f>LOOKUP(I31,91:91,92:92)-LOOKUP(C31,91:91,92:92)+100</f>
        <v>100</v>
      </c>
      <c r="K31" s="408"/>
      <c r="L31" s="2148"/>
      <c r="M31" s="2149"/>
      <c r="N31" s="2149"/>
      <c r="O31" s="2149"/>
      <c r="P31" s="4878"/>
      <c r="Q31" s="952" t="str">
        <f t="shared" si="11"/>
        <v>停车位面积</v>
      </c>
      <c r="R31" s="4079" t="s">
        <v>13</v>
      </c>
      <c r="S31" s="4082">
        <f t="shared" si="12"/>
        <v>100</v>
      </c>
      <c r="T31" s="4079" t="s">
        <v>13</v>
      </c>
      <c r="U31" s="4082">
        <f t="shared" si="13"/>
        <v>100</v>
      </c>
      <c r="V31" s="4079" t="s">
        <v>13</v>
      </c>
      <c r="W31" s="4082">
        <f t="shared" si="14"/>
        <v>100</v>
      </c>
      <c r="X31" s="504"/>
      <c r="Y31" s="4878"/>
      <c r="Z31" s="28" t="str">
        <f t="shared" si="15"/>
        <v>停车位面积</v>
      </c>
      <c r="AA31" s="505">
        <f t="shared" si="3"/>
        <v>1</v>
      </c>
      <c r="AB31" s="505">
        <f t="shared" si="4"/>
        <v>1</v>
      </c>
      <c r="AC31" s="505">
        <f t="shared" si="5"/>
        <v>1</v>
      </c>
    </row>
    <row r="32" spans="1:29" ht="15">
      <c r="A32" s="440"/>
      <c r="B32" s="438" t="s">
        <v>1749</v>
      </c>
      <c r="C32" s="281"/>
      <c r="D32" s="3144">
        <v>100</v>
      </c>
      <c r="E32" s="281"/>
      <c r="F32" s="4060">
        <f>SUMIF(93:93,E32,94:94)-SUMIF(93:93,C32,94:94)+100</f>
        <v>100</v>
      </c>
      <c r="G32" s="281"/>
      <c r="H32" s="4058">
        <f>SUMIF(93:93,G32,94:94)-SUMIF(93:93,C32,94:94)+100</f>
        <v>100</v>
      </c>
      <c r="I32" s="281"/>
      <c r="J32" s="4058">
        <f>SUMIF(93:93,I32,94:94)-SUMIF(93:93,C32,94:94)+100</f>
        <v>100</v>
      </c>
      <c r="K32" s="408"/>
      <c r="L32" s="2153"/>
      <c r="M32" s="2147"/>
      <c r="N32" s="2147"/>
      <c r="O32" s="2147"/>
      <c r="P32" s="4878" t="s">
        <v>1603</v>
      </c>
      <c r="Q32" s="960" t="str">
        <f t="shared" si="11"/>
        <v>车位类型</v>
      </c>
      <c r="R32" s="4080" t="s">
        <v>13</v>
      </c>
      <c r="S32" s="4083">
        <f t="shared" si="12"/>
        <v>100</v>
      </c>
      <c r="T32" s="4080" t="s">
        <v>13</v>
      </c>
      <c r="U32" s="4083">
        <f t="shared" si="13"/>
        <v>100</v>
      </c>
      <c r="V32" s="4080" t="s">
        <v>13</v>
      </c>
      <c r="W32" s="4083">
        <f t="shared" si="14"/>
        <v>100</v>
      </c>
      <c r="X32" s="963"/>
      <c r="Y32" s="4878" t="s">
        <v>1603</v>
      </c>
      <c r="Z32" s="964" t="str">
        <f t="shared" si="15"/>
        <v>车位类型</v>
      </c>
      <c r="AA32" s="961">
        <f t="shared" si="3"/>
        <v>1</v>
      </c>
      <c r="AB32" s="961">
        <f t="shared" si="4"/>
        <v>1</v>
      </c>
      <c r="AC32" s="961">
        <f t="shared" si="5"/>
        <v>1</v>
      </c>
    </row>
    <row r="33" spans="1:29" ht="15">
      <c r="A33" s="440"/>
      <c r="B33" s="438" t="s">
        <v>1750</v>
      </c>
      <c r="C33" s="281"/>
      <c r="D33" s="3144">
        <v>100</v>
      </c>
      <c r="E33" s="281"/>
      <c r="F33" s="4060">
        <f>SUMIF(95:95,E33,96:96)-SUMIF(95:95,C33,96:96)+100</f>
        <v>100</v>
      </c>
      <c r="G33" s="281"/>
      <c r="H33" s="4058">
        <f>SUMIF(95:95,G33,96:96)-SUMIF(95:95,C33,96:96)+100</f>
        <v>100</v>
      </c>
      <c r="I33" s="281"/>
      <c r="J33" s="4058">
        <f>SUMIF(95:95,I33,96:96)-SUMIF(95:95,C33,96:96)+100</f>
        <v>100</v>
      </c>
      <c r="K33" s="408"/>
      <c r="L33" s="2153"/>
      <c r="M33" s="2147"/>
      <c r="N33" s="2147"/>
      <c r="O33" s="2147"/>
      <c r="P33" s="4878"/>
      <c r="Q33" s="960" t="str">
        <f t="shared" si="11"/>
        <v>是否直接入户</v>
      </c>
      <c r="R33" s="4080" t="s">
        <v>13</v>
      </c>
      <c r="S33" s="4083">
        <f t="shared" si="12"/>
        <v>100</v>
      </c>
      <c r="T33" s="4080" t="s">
        <v>13</v>
      </c>
      <c r="U33" s="4083">
        <f t="shared" si="13"/>
        <v>100</v>
      </c>
      <c r="V33" s="4080" t="s">
        <v>13</v>
      </c>
      <c r="W33" s="4083">
        <f t="shared" si="14"/>
        <v>100</v>
      </c>
      <c r="X33" s="963"/>
      <c r="Y33" s="4878"/>
      <c r="Z33" s="964" t="str">
        <f t="shared" si="15"/>
        <v>是否直接入户</v>
      </c>
      <c r="AA33" s="961">
        <f t="shared" si="3"/>
        <v>1</v>
      </c>
      <c r="AB33" s="961">
        <f t="shared" si="4"/>
        <v>1</v>
      </c>
      <c r="AC33" s="961">
        <f t="shared" si="5"/>
        <v>1</v>
      </c>
    </row>
    <row r="34" spans="1:29" ht="15">
      <c r="A34" s="440"/>
      <c r="B34" s="4645">
        <v>111</v>
      </c>
      <c r="C34" s="264"/>
      <c r="D34" s="3144">
        <v>100</v>
      </c>
      <c r="E34" s="264"/>
      <c r="F34" s="4060">
        <f>SUMIF(97:97,E34,98:98)-SUMIF(97:97,C34,98:98)+100</f>
        <v>100</v>
      </c>
      <c r="G34" s="264"/>
      <c r="H34" s="4058">
        <f>SUMIF(97:97,G34,98:98)-SUMIF(97:97,C34,98:98)+100</f>
        <v>100</v>
      </c>
      <c r="I34" s="264"/>
      <c r="J34" s="4058">
        <f>SUMIF(97:97,I34,98:98)-SUMIF(97:97,C34,98:98)+100</f>
        <v>100</v>
      </c>
      <c r="K34" s="409"/>
      <c r="L34" s="2153"/>
      <c r="M34" s="2147"/>
      <c r="N34" s="2147"/>
      <c r="O34" s="2147"/>
      <c r="P34" s="4878"/>
      <c r="Q34" s="960">
        <f t="shared" si="11"/>
        <v>111</v>
      </c>
      <c r="R34" s="4080" t="s">
        <v>13</v>
      </c>
      <c r="S34" s="4083">
        <f t="shared" si="12"/>
        <v>100</v>
      </c>
      <c r="T34" s="4080" t="s">
        <v>13</v>
      </c>
      <c r="U34" s="4083">
        <f t="shared" si="13"/>
        <v>100</v>
      </c>
      <c r="V34" s="4080" t="s">
        <v>13</v>
      </c>
      <c r="W34" s="4083">
        <f t="shared" si="14"/>
        <v>100</v>
      </c>
      <c r="X34" s="963"/>
      <c r="Y34" s="4878"/>
      <c r="Z34" s="964">
        <f t="shared" si="15"/>
        <v>111</v>
      </c>
      <c r="AA34" s="961">
        <f t="shared" si="3"/>
        <v>1</v>
      </c>
      <c r="AB34" s="961">
        <f t="shared" si="4"/>
        <v>1</v>
      </c>
      <c r="AC34" s="961">
        <f t="shared" si="5"/>
        <v>1</v>
      </c>
    </row>
    <row r="35" spans="1:29" s="285" customFormat="1" ht="15">
      <c r="A35" s="437"/>
      <c r="B35" s="434">
        <v>111</v>
      </c>
      <c r="C35" s="264"/>
      <c r="D35" s="3144">
        <v>100</v>
      </c>
      <c r="E35" s="264"/>
      <c r="F35" s="4060">
        <f>SUMIF(99:99,E35,100:100)-SUMIF(99:99,C35,100:100)+100</f>
        <v>100</v>
      </c>
      <c r="G35" s="264"/>
      <c r="H35" s="4058">
        <f>SUMIF(99:99,G35,100:100)-SUMIF(99:99,C35,100:100)+100</f>
        <v>100</v>
      </c>
      <c r="I35" s="264"/>
      <c r="J35" s="4058">
        <f>SUMIF(99:99,I35,100:100)-SUMIF(99:99,C35,100:100)+100</f>
        <v>100</v>
      </c>
      <c r="K35" s="409"/>
      <c r="L35" s="2152"/>
      <c r="M35" s="2154"/>
      <c r="N35" s="2154"/>
      <c r="O35" s="2154"/>
      <c r="P35" s="4878"/>
      <c r="Q35" s="506">
        <f t="shared" si="11"/>
        <v>111</v>
      </c>
      <c r="R35" s="4081" t="s">
        <v>13</v>
      </c>
      <c r="S35" s="4084">
        <f t="shared" si="12"/>
        <v>100</v>
      </c>
      <c r="T35" s="4081" t="s">
        <v>13</v>
      </c>
      <c r="U35" s="4084">
        <f t="shared" si="13"/>
        <v>100</v>
      </c>
      <c r="V35" s="4081" t="s">
        <v>13</v>
      </c>
      <c r="W35" s="4084">
        <f t="shared" si="14"/>
        <v>100</v>
      </c>
      <c r="X35" s="507"/>
      <c r="Y35" s="4878"/>
      <c r="Z35" s="508">
        <f t="shared" si="15"/>
        <v>111</v>
      </c>
      <c r="AA35" s="961">
        <f t="shared" si="3"/>
        <v>1</v>
      </c>
      <c r="AB35" s="961">
        <f t="shared" si="4"/>
        <v>1</v>
      </c>
      <c r="AC35" s="961">
        <f t="shared" si="5"/>
        <v>1</v>
      </c>
    </row>
    <row r="36" spans="1:29" ht="15.6" thickBot="1">
      <c r="A36" s="443"/>
      <c r="B36" s="423">
        <v>111</v>
      </c>
      <c r="C36" s="265"/>
      <c r="D36" s="3144">
        <v>100</v>
      </c>
      <c r="E36" s="264"/>
      <c r="F36" s="4060">
        <f>SUMIF(101:101,E36,102:102)-SUMIF(101:101,C36,102:102)+100</f>
        <v>100</v>
      </c>
      <c r="G36" s="264"/>
      <c r="H36" s="4058">
        <f>SUMIF(101:101,G36,102:102)-SUMIF(101:101,C36,102:102)+100</f>
        <v>100</v>
      </c>
      <c r="I36" s="264"/>
      <c r="J36" s="4058">
        <f>SUMIF(101:101,I36,102:102)-SUMIF(101:101,C36,102:102)+100</f>
        <v>100</v>
      </c>
      <c r="K36" s="409"/>
      <c r="L36" s="2153"/>
      <c r="M36" s="2147"/>
      <c r="N36" s="2147"/>
      <c r="O36" s="2147"/>
      <c r="P36" s="4878"/>
      <c r="Q36" s="960">
        <f t="shared" si="11"/>
        <v>111</v>
      </c>
      <c r="R36" s="4080" t="s">
        <v>13</v>
      </c>
      <c r="S36" s="4083">
        <f t="shared" si="12"/>
        <v>100</v>
      </c>
      <c r="T36" s="4080" t="s">
        <v>13</v>
      </c>
      <c r="U36" s="4083">
        <f t="shared" si="13"/>
        <v>100</v>
      </c>
      <c r="V36" s="4080" t="s">
        <v>13</v>
      </c>
      <c r="W36" s="4083">
        <f t="shared" si="14"/>
        <v>100</v>
      </c>
      <c r="X36" s="963"/>
      <c r="Y36" s="4878"/>
      <c r="Z36" s="964">
        <f t="shared" si="15"/>
        <v>111</v>
      </c>
      <c r="AA36" s="961">
        <f t="shared" si="3"/>
        <v>1</v>
      </c>
      <c r="AB36" s="961">
        <f t="shared" si="4"/>
        <v>1</v>
      </c>
      <c r="AC36" s="961">
        <f t="shared" si="5"/>
        <v>1</v>
      </c>
    </row>
    <row r="37" spans="1:29" ht="14.4">
      <c r="A37" s="292" t="s">
        <v>1751</v>
      </c>
      <c r="B37" s="1532" t="s">
        <v>3238</v>
      </c>
      <c r="C37" s="808" t="s">
        <v>0</v>
      </c>
      <c r="D37" s="809"/>
      <c r="E37" s="3457">
        <v>90000</v>
      </c>
      <c r="F37" s="3459"/>
      <c r="G37" s="3458">
        <v>99200</v>
      </c>
      <c r="H37" s="3460"/>
      <c r="I37" s="3457">
        <v>103600</v>
      </c>
      <c r="J37" s="3460"/>
      <c r="K37" s="3461"/>
      <c r="L37" s="2155"/>
      <c r="M37" s="2156"/>
      <c r="N37" s="2147"/>
      <c r="O37" s="2156"/>
      <c r="P37" s="4870" t="str">
        <f>A37</f>
        <v>成交单价</v>
      </c>
      <c r="Q37" s="4870"/>
      <c r="R37" s="4871">
        <f>E37</f>
        <v>90000</v>
      </c>
      <c r="S37" s="4871"/>
      <c r="T37" s="4871">
        <f>G37</f>
        <v>99200</v>
      </c>
      <c r="U37" s="4871"/>
      <c r="V37" s="4871">
        <f>I37</f>
        <v>103600</v>
      </c>
      <c r="W37" s="4871"/>
      <c r="X37" s="493"/>
      <c r="Y37" s="509"/>
      <c r="Z37" s="493"/>
      <c r="AA37" s="493"/>
      <c r="AB37" s="493"/>
      <c r="AC37" s="493"/>
    </row>
    <row r="38" spans="1:29" ht="15" thickBot="1">
      <c r="A38" s="295" t="s">
        <v>1752</v>
      </c>
      <c r="B38" s="296" t="str">
        <f>B37</f>
        <v>元/平方米</v>
      </c>
      <c r="C38" s="4037">
        <f>R39</f>
        <v>89778</v>
      </c>
      <c r="D38" s="4194" t="s">
        <v>2040</v>
      </c>
      <c r="E38" s="4048">
        <f>R38</f>
        <v>93750</v>
      </c>
      <c r="F38" s="3042"/>
      <c r="G38" s="4037">
        <f>T38</f>
        <v>85887</v>
      </c>
      <c r="H38" s="3042"/>
      <c r="I38" s="4048">
        <f>V38</f>
        <v>89697</v>
      </c>
      <c r="J38" s="3042"/>
      <c r="K38" s="3097">
        <f>F38+H38+J38</f>
        <v>0</v>
      </c>
      <c r="L38" s="2155"/>
      <c r="M38" s="2156"/>
      <c r="N38" s="2156"/>
      <c r="O38" s="2156"/>
      <c r="P38" s="4870" t="str">
        <f>A38</f>
        <v>比较价值（元/平方米）</v>
      </c>
      <c r="Q38" s="4870"/>
      <c r="R38" s="4871">
        <f>IF(F1="售价",ROUND(PRODUCT(R37,AA7:AA36),0),ROUND(PRODUCT(R37,AA7:AA36),1))</f>
        <v>93750</v>
      </c>
      <c r="S38" s="4871"/>
      <c r="T38" s="4871">
        <f>IF(F1="售价",ROUND(PRODUCT(T37,AB7:AB36),0),ROUND(PRODUCT(T37,AB7:AB36),1))</f>
        <v>85887</v>
      </c>
      <c r="U38" s="4871"/>
      <c r="V38" s="4871">
        <f>IF(F1="售价",ROUND(PRODUCT(V37,AC7:AC36),0),ROUND(PRODUCT(V37,AC7:AC36),1))</f>
        <v>89697</v>
      </c>
      <c r="W38" s="4871"/>
      <c r="X38" s="493"/>
      <c r="Y38" s="493"/>
      <c r="Z38" s="493"/>
      <c r="AA38" s="493"/>
      <c r="AB38" s="493"/>
      <c r="AC38" s="493"/>
    </row>
    <row r="39" spans="1:29" ht="15" thickBot="1">
      <c r="A39" s="297" t="s">
        <v>1753</v>
      </c>
      <c r="B39" s="298"/>
      <c r="C39" s="4049">
        <f>R39</f>
        <v>89778</v>
      </c>
      <c r="D39" s="812"/>
      <c r="E39" s="812"/>
      <c r="F39" s="812"/>
      <c r="G39" s="812"/>
      <c r="H39" s="812"/>
      <c r="I39" s="812"/>
      <c r="J39" s="812"/>
      <c r="K39" s="413"/>
      <c r="L39" s="2155"/>
      <c r="M39" s="2156"/>
      <c r="N39" s="2156"/>
      <c r="O39" s="2156"/>
      <c r="P39" s="4872" t="str">
        <f>A39</f>
        <v>估价对象XX用房的比较价值（楼面单价，元/平方米）</v>
      </c>
      <c r="Q39" s="4873"/>
      <c r="R39" s="4874">
        <f>IF(F1="售价",ROUND(IF(D38="简单平均",AVERAGE(R38:W38),R38*F38+T38*H38+V38*J38),0),ROUND(IF(D38="简单平均",AVERAGE(R38:V38),R38*F38+T38*H38+V38*J38),1))</f>
        <v>89778</v>
      </c>
      <c r="S39" s="4874"/>
      <c r="T39" s="4874"/>
      <c r="U39" s="4874"/>
      <c r="V39" s="4874"/>
      <c r="W39" s="4874"/>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f>IF(E37&lt;E38,E38/E37-1,E37/E38-1)</f>
        <v>4.1666666666666741E-2</v>
      </c>
      <c r="F42" s="305" t="str">
        <f>IF(OR(E42&gt;=0.3,E42&lt;=-0.3),"超过30%","")</f>
        <v/>
      </c>
      <c r="G42" s="304">
        <f>IF(G37&lt;G38,G38/G37-1,G37/G38-1)</f>
        <v>0.15500599625088785</v>
      </c>
      <c r="H42" s="305" t="str">
        <f>IF(OR(G42&gt;=0.3,G42&lt;=-0.3),"超过30%","")</f>
        <v/>
      </c>
      <c r="I42" s="304">
        <f>IF(I37&lt;I38,I38/I37-1,I37/I38-1)</f>
        <v>0.15499960979742911</v>
      </c>
      <c r="J42" s="305" t="str">
        <f>IF(OR(I42&gt;=0.3,I42&lt;=-0.3),"超过30%","")</f>
        <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f>IF(E38&lt;G38,G38/E38-1,E38/G38-1)</f>
        <v>9.1550525690733187E-2</v>
      </c>
      <c r="F43" s="305" t="str">
        <f>IF(OR(E43&gt;=0.2,E43&lt;=-0.2),"超过20%","")</f>
        <v/>
      </c>
      <c r="G43" s="304">
        <f>IF(G38&lt;I38,I38/G38-1,G38/I38-1)</f>
        <v>4.4360613364071488E-2</v>
      </c>
      <c r="H43" s="305" t="str">
        <f>IF(OR(G43&gt;=0.2,G43&lt;=-0.2),"超过20%","")</f>
        <v/>
      </c>
      <c r="I43" s="304">
        <f>IF(I38&lt;E38,E38/I38-1,I38/E38-1)</f>
        <v>4.5185457707615617E-2</v>
      </c>
      <c r="J43" s="305" t="str">
        <f>IF(OR(I43&gt;=0.2,I43&lt;=-0.2),"超过20%","")</f>
        <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f>IF(E37&lt;G37,G37/E37-1,E37/G37-1)</f>
        <v>0.10222222222222221</v>
      </c>
      <c r="F44" s="305" t="str">
        <f>IF(OR(E44&gt;=0.3,E44&lt;=-0.3),"超过30%","")</f>
        <v/>
      </c>
      <c r="G44" s="304">
        <f>IF(G37&lt;I37,I37/G37-1,G37/I37-1)</f>
        <v>4.4354838709677491E-2</v>
      </c>
      <c r="H44" s="305" t="str">
        <f>IF(OR(G44&gt;=0.3,G44&lt;=-0.3),"超过30%","")</f>
        <v/>
      </c>
      <c r="I44" s="304">
        <f>IF(I37&lt;E37,E37/I37-1,I37/E37-1)</f>
        <v>0.1511111111111112</v>
      </c>
      <c r="J44" s="305" t="str">
        <f>IF(OR(I44&gt;=0.3,I44&lt;=-0.3),"超过30%","")</f>
        <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v>100</v>
      </c>
      <c r="E49" s="315">
        <v>100</v>
      </c>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1626</v>
      </c>
      <c r="B53" s="330" t="s">
        <v>1592</v>
      </c>
      <c r="C53" s="331" t="str">
        <f>C9</f>
        <v>车库</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3874</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1759</v>
      </c>
      <c r="C71" s="356" t="s">
        <v>4095</v>
      </c>
      <c r="D71" s="356" t="s">
        <v>4096</v>
      </c>
      <c r="E71" s="356" t="s">
        <v>4098</v>
      </c>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98</v>
      </c>
      <c r="E72" s="346">
        <f>D72-$K22</f>
        <v>96</v>
      </c>
      <c r="F72" s="346">
        <f>E72-$K22</f>
        <v>94</v>
      </c>
      <c r="G72" s="346">
        <f>F72-$K22</f>
        <v>92</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1761</v>
      </c>
      <c r="C81" s="445" t="s">
        <v>4104</v>
      </c>
      <c r="D81" s="445" t="s">
        <v>4105</v>
      </c>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v>105</v>
      </c>
      <c r="D82" s="338">
        <v>100</v>
      </c>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110</v>
      </c>
      <c r="E87" s="346">
        <f t="shared" ref="E87:M87" si="21">D87+$K$29</f>
        <v>120</v>
      </c>
      <c r="F87" s="346">
        <f t="shared" si="21"/>
        <v>130</v>
      </c>
      <c r="G87" s="346">
        <f t="shared" si="21"/>
        <v>140</v>
      </c>
      <c r="H87" s="346">
        <f t="shared" si="21"/>
        <v>150</v>
      </c>
      <c r="I87" s="346">
        <f t="shared" si="21"/>
        <v>160</v>
      </c>
      <c r="J87" s="346">
        <f t="shared" si="21"/>
        <v>170</v>
      </c>
      <c r="K87" s="346">
        <f t="shared" si="21"/>
        <v>180</v>
      </c>
      <c r="L87" s="346">
        <f t="shared" si="21"/>
        <v>190</v>
      </c>
      <c r="M87" s="346">
        <f t="shared" si="21"/>
        <v>200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v>0</v>
      </c>
      <c r="D91" s="394">
        <v>50</v>
      </c>
      <c r="E91" s="394">
        <v>60</v>
      </c>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v>100</v>
      </c>
      <c r="D92" s="338">
        <v>98</v>
      </c>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K35"/>
  <sheetViews>
    <sheetView workbookViewId="0">
      <selection activeCell="N37" sqref="N37"/>
    </sheetView>
  </sheetViews>
  <sheetFormatPr defaultRowHeight="14.4"/>
  <sheetData>
    <row r="35" spans="11:11">
      <c r="K35" s="4646" t="s">
        <v>4121</v>
      </c>
    </row>
  </sheetData>
  <phoneticPr fontId="134" type="noConversion"/>
  <hyperlinks>
    <hyperlink ref="K35"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7" zoomScaleNormal="100" zoomScaleSheetLayoutView="100" workbookViewId="0">
      <selection activeCell="C25" sqref="C25"/>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70" t="s">
        <v>3218</v>
      </c>
      <c r="C1" s="3585" t="s">
        <v>4084</v>
      </c>
      <c r="D1" s="1440" t="s">
        <v>1499</v>
      </c>
      <c r="E1" s="97"/>
      <c r="F1" s="97"/>
      <c r="G1" s="795">
        <f>MATCH(B1,'数据-取费表'!A6:A16,0)+5</f>
        <v>6</v>
      </c>
      <c r="H1" s="3262" t="str">
        <f>IF(ISERROR(FIND("住宅",B1)),"非住宅","住宅")</f>
        <v>非住宅</v>
      </c>
    </row>
    <row r="2" spans="1:10" s="99" customFormat="1" ht="15.6">
      <c r="A2" s="100" t="s">
        <v>1431</v>
      </c>
      <c r="B2" s="3974">
        <f ca="1">ROUND(D3/10000,4)</f>
        <v>28.303899999999999</v>
      </c>
      <c r="C2" s="98" t="s">
        <v>1432</v>
      </c>
      <c r="D2" s="1434" t="s">
        <v>41</v>
      </c>
      <c r="E2" s="2743">
        <f ca="1">IF(D2="——",0,SUMIF(INDIRECT("'"&amp;G2&amp;"'"&amp;"!A:A"),"承租人权益价值",INDIRECT("'"&amp;G2&amp;"'"&amp;"!c:c")))</f>
        <v>0</v>
      </c>
      <c r="F2" s="1435" t="s">
        <v>1432</v>
      </c>
      <c r="G2" s="1436"/>
    </row>
    <row r="3" spans="1:10" s="99" customFormat="1" ht="16.2" thickBot="1">
      <c r="A3" s="102" t="s">
        <v>672</v>
      </c>
      <c r="B3" s="2757">
        <f ca="1">ROUND(D3/(IF(B1="",'数据-汇总表'!E3,INDIRECT("'数据-取费表'!k"&amp;$G$1))),0)</f>
        <v>6713</v>
      </c>
      <c r="C3" s="98" t="s">
        <v>1434</v>
      </c>
      <c r="D3" s="98">
        <f ca="1">IF(C1="含税",E2+C33,E2+C32)</f>
        <v>283039</v>
      </c>
      <c r="E3" s="2744"/>
      <c r="F3" s="98"/>
      <c r="G3" s="98"/>
    </row>
    <row r="4" spans="1:10" s="99" customFormat="1" ht="16.2" thickBot="1">
      <c r="A4" s="2801" t="s">
        <v>3327</v>
      </c>
      <c r="B4" s="2802" t="s">
        <v>3328</v>
      </c>
      <c r="C4" s="2741" t="s">
        <v>3949</v>
      </c>
      <c r="D4" s="2777" t="s">
        <v>3333</v>
      </c>
      <c r="E4" s="2778" t="s">
        <v>3334</v>
      </c>
      <c r="F4" s="2778" t="s">
        <v>3335</v>
      </c>
      <c r="G4" s="2742" t="s">
        <v>3329</v>
      </c>
    </row>
    <row r="5" spans="1:10" s="107" customFormat="1" ht="15.6">
      <c r="A5" s="2779" t="s">
        <v>3326</v>
      </c>
      <c r="B5" s="2780" t="s">
        <v>3330</v>
      </c>
      <c r="C5" s="2754">
        <f ca="1">ROUND((C6+C9+C21+C24+C25+C28)/(1-F22-C26-C29),0)</f>
        <v>278051</v>
      </c>
      <c r="D5" s="2781"/>
      <c r="E5" s="2781"/>
      <c r="F5" s="2781"/>
      <c r="G5" s="2936" t="s">
        <v>3469</v>
      </c>
      <c r="J5" s="99"/>
    </row>
    <row r="6" spans="1:10" s="2767" customFormat="1" ht="15">
      <c r="A6" s="2746" t="s">
        <v>3336</v>
      </c>
      <c r="B6" s="2805" t="s">
        <v>3337</v>
      </c>
      <c r="C6" s="2782">
        <f>C7+C8</f>
        <v>77160.159999999989</v>
      </c>
      <c r="D6" s="2745"/>
      <c r="E6" s="2745"/>
      <c r="F6" s="2745"/>
      <c r="G6" s="2783"/>
      <c r="J6" s="99"/>
    </row>
    <row r="7" spans="1:10" s="113" customFormat="1" ht="15">
      <c r="A7" s="2784" t="s">
        <v>344</v>
      </c>
      <c r="B7" s="2806" t="s">
        <v>1442</v>
      </c>
      <c r="C7" s="3263">
        <f>基准地价修正!C42*基准地价修正!D42</f>
        <v>74876.159999999989</v>
      </c>
      <c r="D7" s="2785"/>
      <c r="E7" s="2786"/>
      <c r="F7" s="2786"/>
      <c r="G7" s="160"/>
      <c r="J7" s="99"/>
    </row>
    <row r="8" spans="1:10" s="113" customFormat="1" ht="15">
      <c r="A8" s="2784" t="s">
        <v>345</v>
      </c>
      <c r="B8" s="2806" t="s">
        <v>1444</v>
      </c>
      <c r="C8" s="2755">
        <f>ROUND(C7*F8,0)</f>
        <v>2284</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177493</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147560</v>
      </c>
      <c r="D10" s="2785"/>
      <c r="E10" s="148"/>
      <c r="F10" s="2793">
        <f ca="1">IF('数据-取费表'!B24=0,1,IF(B1="",'数据-取费表'!N16,INDIRECT("'数据-取费表'!n"&amp;$G$1)))</f>
        <v>1</v>
      </c>
      <c r="G10" s="160" t="s">
        <v>1467</v>
      </c>
      <c r="J10" s="99"/>
    </row>
    <row r="11" spans="1:10" s="113" customFormat="1" ht="15">
      <c r="A11" s="2808" t="s">
        <v>349</v>
      </c>
      <c r="B11" s="2809" t="s">
        <v>3321</v>
      </c>
      <c r="C11" s="2755">
        <f ca="1">ROUND(C10*F11,0)</f>
        <v>2951</v>
      </c>
      <c r="D11" s="148"/>
      <c r="E11" s="148"/>
      <c r="F11" s="2766">
        <f>'数据-取费表'!B33</f>
        <v>0.02</v>
      </c>
      <c r="G11" s="160" t="s">
        <v>1469</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59" t="s">
        <v>3992</v>
      </c>
      <c r="J12" s="99"/>
    </row>
    <row r="13" spans="1:10" s="113" customFormat="1" ht="15">
      <c r="A13" s="2808" t="s">
        <v>3286</v>
      </c>
      <c r="B13" s="2809" t="s">
        <v>3323</v>
      </c>
      <c r="C13" s="2755">
        <f ca="1">C14+C17+C18</f>
        <v>21080</v>
      </c>
      <c r="D13" s="148"/>
      <c r="E13" s="2786"/>
      <c r="F13" s="2787"/>
      <c r="G13" s="160"/>
      <c r="J13" s="99"/>
    </row>
    <row r="14" spans="1:10" s="122" customFormat="1" ht="15">
      <c r="A14" s="2739" t="s">
        <v>3287</v>
      </c>
      <c r="B14" s="2810" t="s">
        <v>3319</v>
      </c>
      <c r="C14" s="2755">
        <f ca="1">IF(G14="已包含在土地购买价格中","0",IF(B1="",'数据-取费表'!B29,IF(G15="全部缴纳",C15+C16,H15)))</f>
        <v>8432</v>
      </c>
      <c r="D14" s="2794"/>
      <c r="E14" s="148"/>
      <c r="F14" s="2787"/>
      <c r="G14" s="1437" t="s">
        <v>4085</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160</v>
      </c>
      <c r="F15" s="2787"/>
      <c r="G15" s="1438" t="s">
        <v>4087</v>
      </c>
      <c r="H15" s="803"/>
      <c r="I15" s="1439" t="s">
        <v>1448</v>
      </c>
      <c r="J15" s="99"/>
    </row>
    <row r="16" spans="1:10" s="113" customFormat="1" ht="15">
      <c r="A16" s="2811" t="s">
        <v>354</v>
      </c>
      <c r="B16" s="2812" t="s">
        <v>1449</v>
      </c>
      <c r="C16" s="2795">
        <f ca="1">ROUND(D16*E16,0)</f>
        <v>8432</v>
      </c>
      <c r="D16" s="2795">
        <f ca="1">IF(B1="",'数据-汇总表'!E6,IF(INDIRECT("'数据-取费表'!c"&amp;$G$1)="住宅",INDIRECT("'数据-取费表'!s"&amp;$G$1),INDIRECT("'数据-取费表'!k"&amp;$G$1)+INDIRECT("'数据-取费表'!s"&amp;$G$1)))</f>
        <v>42.16</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42.16</v>
      </c>
      <c r="E17" s="2796">
        <f>'数据-取费表'!B31</f>
        <v>265</v>
      </c>
      <c r="F17" s="2763"/>
      <c r="G17" s="1437" t="s">
        <v>4086</v>
      </c>
      <c r="J17" s="99"/>
    </row>
    <row r="18" spans="1:10" s="113" customFormat="1" ht="15">
      <c r="A18" s="2814" t="s">
        <v>3289</v>
      </c>
      <c r="B18" s="2813" t="s">
        <v>1472</v>
      </c>
      <c r="C18" s="2755">
        <f ca="1">ROUND(E18*D18*F10,0)</f>
        <v>12648</v>
      </c>
      <c r="D18" s="2755">
        <f ca="1">D17</f>
        <v>42.16</v>
      </c>
      <c r="E18" s="2755">
        <f>'数据-取费表'!B35</f>
        <v>300</v>
      </c>
      <c r="F18" s="2766"/>
      <c r="G18" s="160" t="str">
        <f ca="1">IF(F10=100%,"","按工程进度计取")</f>
        <v/>
      </c>
      <c r="J18" s="99"/>
    </row>
    <row r="19" spans="1:10" s="113" customFormat="1" ht="15">
      <c r="A19" s="2808" t="s">
        <v>352</v>
      </c>
      <c r="B19" s="2809" t="s">
        <v>3324</v>
      </c>
      <c r="C19" s="2755">
        <f ca="1">ROUND(C10*F19,0)</f>
        <v>2951</v>
      </c>
      <c r="D19" s="148"/>
      <c r="E19" s="148"/>
      <c r="F19" s="2766">
        <f>'数据-取费表'!B36</f>
        <v>0.02</v>
      </c>
      <c r="G19" s="160" t="s">
        <v>1469</v>
      </c>
      <c r="J19" s="99"/>
    </row>
    <row r="20" spans="1:10" s="113" customFormat="1" ht="15">
      <c r="A20" s="2808" t="s">
        <v>3290</v>
      </c>
      <c r="B20" s="2809" t="s">
        <v>3325</v>
      </c>
      <c r="C20" s="2755">
        <f ca="1">ROUND(C10*F20,0)</f>
        <v>2951</v>
      </c>
      <c r="D20" s="2797"/>
      <c r="E20" s="144"/>
      <c r="F20" s="2766">
        <f>'数据-取费表'!B37</f>
        <v>0.02</v>
      </c>
      <c r="G20" s="160" t="s">
        <v>1469</v>
      </c>
      <c r="J20" s="99"/>
    </row>
    <row r="21" spans="1:10" s="2767" customFormat="1" ht="15">
      <c r="A21" s="2746" t="s">
        <v>3338</v>
      </c>
      <c r="B21" s="2805" t="s">
        <v>3339</v>
      </c>
      <c r="C21" s="2768">
        <f ca="1">ROUND((C6+C9)*F21,0)</f>
        <v>2547</v>
      </c>
      <c r="D21" s="2769"/>
      <c r="E21" s="2769"/>
      <c r="F21" s="2773">
        <f>'数据-取费表'!B38</f>
        <v>0.01</v>
      </c>
      <c r="G21" s="2770" t="s">
        <v>3340</v>
      </c>
      <c r="J21" s="99"/>
    </row>
    <row r="22" spans="1:10" s="2767" customFormat="1" ht="15">
      <c r="A22" s="2746" t="s">
        <v>3341</v>
      </c>
      <c r="B22" s="2805" t="s">
        <v>3342</v>
      </c>
      <c r="C22" s="2771" t="str">
        <f>F22&amp;"V"</f>
        <v>0.01V</v>
      </c>
      <c r="D22" s="302"/>
      <c r="E22" s="2769"/>
      <c r="F22" s="2773">
        <f>'数据-取费表'!B39</f>
        <v>0.01</v>
      </c>
      <c r="G22" s="3803" t="s">
        <v>3985</v>
      </c>
      <c r="J22" s="99"/>
    </row>
    <row r="23" spans="1:10" s="2767" customFormat="1" ht="15">
      <c r="A23" s="2746" t="s">
        <v>3343</v>
      </c>
      <c r="B23" s="2807" t="s">
        <v>3294</v>
      </c>
      <c r="C23" s="2747" t="str">
        <f ca="1">SUM(C24:C25)&amp;"+"&amp;C26&amp;"V"</f>
        <v>5016+0.0002V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2315</v>
      </c>
      <c r="D24" s="137"/>
      <c r="E24" s="137"/>
      <c r="F24" s="2762"/>
      <c r="G24" s="4259" t="s">
        <v>3986</v>
      </c>
      <c r="J24" s="99"/>
    </row>
    <row r="25" spans="1:10" s="113" customFormat="1" ht="15">
      <c r="A25" s="2815" t="s">
        <v>345</v>
      </c>
      <c r="B25" s="2813" t="s">
        <v>3295</v>
      </c>
      <c r="C25" s="2761">
        <f ca="1">ROUND(IF('数据-取费表'!B22&lt;=1,(C9+C21)*F23*'数据-取费表'!B23/2,(C9+C21)*(POWER((1+F23),'数据-取费表'!B23/2)-1)),0)</f>
        <v>2701</v>
      </c>
      <c r="D25" s="137"/>
      <c r="E25" s="137"/>
      <c r="F25" s="2762"/>
      <c r="G25" s="4259" t="s">
        <v>3987</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04" t="s">
        <v>3988</v>
      </c>
      <c r="J26" s="99"/>
    </row>
    <row r="27" spans="1:10" s="2767" customFormat="1" ht="15">
      <c r="A27" s="2746" t="s">
        <v>3344</v>
      </c>
      <c r="B27" s="2807" t="s">
        <v>3296</v>
      </c>
      <c r="C27" s="2774" t="str">
        <f ca="1">C28&amp;"+"&amp;C29&amp;"V"</f>
        <v>12860+0.0005V</v>
      </c>
      <c r="D27" s="2772"/>
      <c r="E27" s="302"/>
      <c r="F27" s="2775">
        <f ca="1">IF(B1="",'数据-取费表'!Q16,INDIRECT("'数据-取费表'!q"&amp;$G$1))</f>
        <v>0.05</v>
      </c>
      <c r="G27" s="2770" t="s">
        <v>3994</v>
      </c>
      <c r="J27" s="99"/>
    </row>
    <row r="28" spans="1:10" s="113" customFormat="1" ht="15">
      <c r="A28" s="2808" t="s">
        <v>344</v>
      </c>
      <c r="B28" s="2813" t="s">
        <v>1459</v>
      </c>
      <c r="C28" s="2740">
        <f ca="1">ROUND(C6*F27*'数据-取费表'!B23/'数据-取费表'!B22+(C9+C21)*F27,0)</f>
        <v>12860</v>
      </c>
      <c r="D28" s="134"/>
      <c r="E28" s="135"/>
      <c r="F28" s="2763"/>
      <c r="G28" s="146" t="str">
        <f ca="1">IF(F10=100%,"","其中：土地取得成本产生的利润按已建工期计算")</f>
        <v/>
      </c>
      <c r="J28" s="99"/>
    </row>
    <row r="29" spans="1:10" s="113" customFormat="1" ht="15">
      <c r="A29" s="2808" t="s">
        <v>345</v>
      </c>
      <c r="B29" s="2813" t="s">
        <v>1460</v>
      </c>
      <c r="C29" s="2758">
        <f ca="1">ROUND(F22*F27,4)</f>
        <v>5.0000000000000001E-4</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6">
      <c r="A31" s="2816">
        <v>2</v>
      </c>
      <c r="B31" s="2817" t="s">
        <v>3298</v>
      </c>
      <c r="C31" s="2759">
        <f ca="1">C57</f>
        <v>18382</v>
      </c>
      <c r="D31" s="2750"/>
      <c r="E31" s="2750"/>
      <c r="F31" s="2764">
        <f>IF('数据-取费表'!B24=0,'数据-取费表'!N16,1)</f>
        <v>0.9</v>
      </c>
      <c r="G31" s="2751" t="s">
        <v>3806</v>
      </c>
      <c r="J31" s="99"/>
    </row>
    <row r="32" spans="1:10" s="113" customFormat="1" ht="15.6">
      <c r="A32" s="2738" t="s">
        <v>3299</v>
      </c>
      <c r="B32" s="2737" t="s">
        <v>3300</v>
      </c>
      <c r="C32" s="2759">
        <f ca="1">C5-C31</f>
        <v>259669</v>
      </c>
      <c r="D32" s="2750"/>
      <c r="E32" s="2750"/>
      <c r="F32" s="2749"/>
      <c r="G32" s="2752" t="s">
        <v>3331</v>
      </c>
      <c r="J32" s="99"/>
    </row>
    <row r="33" spans="1:10" s="113" customFormat="1" ht="16.2" thickBot="1">
      <c r="A33" s="2818">
        <v>4</v>
      </c>
      <c r="B33" s="2819" t="s">
        <v>3332</v>
      </c>
      <c r="C33" s="2760">
        <f ca="1">ROUND(C32*(1+F33),0)</f>
        <v>283039</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 thickBot="1">
      <c r="A38" s="3007" t="s">
        <v>3301</v>
      </c>
      <c r="B38" s="3008"/>
      <c r="C38" s="3008"/>
      <c r="D38" s="3008"/>
      <c r="E38" s="3008"/>
      <c r="F38" s="3008"/>
      <c r="G38" s="3009"/>
    </row>
    <row r="39" spans="1:10" ht="15" thickBot="1">
      <c r="A39" s="4482" t="s">
        <v>3327</v>
      </c>
      <c r="B39" s="3010" t="s">
        <v>3328</v>
      </c>
      <c r="C39" s="3012" t="s">
        <v>3949</v>
      </c>
      <c r="D39" s="3013" t="s">
        <v>3451</v>
      </c>
      <c r="E39" s="3014" t="s">
        <v>3452</v>
      </c>
      <c r="F39" s="3014" t="s">
        <v>3453</v>
      </c>
      <c r="G39" s="3015" t="s">
        <v>3329</v>
      </c>
    </row>
    <row r="40" spans="1:10" ht="14.4">
      <c r="A40" s="2869" t="s">
        <v>3454</v>
      </c>
      <c r="B40" s="4487" t="s">
        <v>3302</v>
      </c>
      <c r="C40" s="3018">
        <f ca="1">SUM(C41:C46)</f>
        <v>169061</v>
      </c>
      <c r="D40" s="3016"/>
      <c r="E40" s="3016"/>
      <c r="F40" s="3016"/>
      <c r="G40" s="4344"/>
    </row>
    <row r="41" spans="1:10" ht="15.6">
      <c r="A41" s="4483" t="s">
        <v>3303</v>
      </c>
      <c r="B41" s="4488" t="str">
        <f t="shared" ref="B41:C43" si="0">B10</f>
        <v xml:space="preserve">  建安费用</v>
      </c>
      <c r="C41" s="2735">
        <f t="shared" ca="1" si="0"/>
        <v>147560</v>
      </c>
      <c r="D41" s="2730"/>
      <c r="E41" s="2730"/>
      <c r="F41" s="2731"/>
      <c r="G41" s="4345"/>
    </row>
    <row r="42" spans="1:10" ht="15.6">
      <c r="A42" s="4483" t="s">
        <v>3304</v>
      </c>
      <c r="B42" s="4488" t="str">
        <f t="shared" si="0"/>
        <v xml:space="preserve">  前期费用</v>
      </c>
      <c r="C42" s="2735">
        <f t="shared" ca="1" si="0"/>
        <v>2951</v>
      </c>
      <c r="D42" s="2730"/>
      <c r="E42" s="2730"/>
      <c r="F42" s="2731"/>
      <c r="G42" s="4345"/>
    </row>
    <row r="43" spans="1:10" ht="15.6">
      <c r="A43" s="4483" t="s">
        <v>3368</v>
      </c>
      <c r="B43" s="4489" t="str">
        <f t="shared" si="0"/>
        <v xml:space="preserve">  公共配套设施费用</v>
      </c>
      <c r="C43" s="2735">
        <f t="shared" ca="1" si="0"/>
        <v>0</v>
      </c>
      <c r="D43" s="2730"/>
      <c r="E43" s="2730"/>
      <c r="F43" s="2731"/>
      <c r="G43" s="4345"/>
    </row>
    <row r="44" spans="1:10" ht="15.6">
      <c r="A44" s="4483" t="s">
        <v>3286</v>
      </c>
      <c r="B44" s="4489" t="str">
        <f>B18</f>
        <v>红线内市政费用</v>
      </c>
      <c r="C44" s="2735">
        <f ca="1">C18</f>
        <v>12648</v>
      </c>
      <c r="D44" s="2730"/>
      <c r="E44" s="2730"/>
      <c r="F44" s="2731"/>
      <c r="G44" s="4345"/>
    </row>
    <row r="45" spans="1:10" ht="15.6">
      <c r="A45" s="4484" t="s">
        <v>3305</v>
      </c>
      <c r="B45" s="4490" t="str">
        <f>B19</f>
        <v xml:space="preserve">  其他工程费</v>
      </c>
      <c r="C45" s="2740">
        <f ca="1">C19</f>
        <v>2951</v>
      </c>
      <c r="D45" s="2865"/>
      <c r="E45" s="2865"/>
      <c r="F45" s="2866"/>
      <c r="G45" s="4346"/>
    </row>
    <row r="46" spans="1:10" ht="15.6">
      <c r="A46" s="4484" t="s">
        <v>3367</v>
      </c>
      <c r="B46" s="4490" t="s">
        <v>3306</v>
      </c>
      <c r="C46" s="2740">
        <f ca="1">C20</f>
        <v>2951</v>
      </c>
      <c r="D46" s="2865"/>
      <c r="E46" s="2865"/>
      <c r="F46" s="2866"/>
      <c r="G46" s="4346"/>
    </row>
    <row r="47" spans="1:10" ht="14.4">
      <c r="A47" s="4485" t="s">
        <v>3455</v>
      </c>
      <c r="B47" s="4485" t="s">
        <v>3456</v>
      </c>
      <c r="C47" s="2870">
        <f ca="1">ROUND(C40*F47,0)</f>
        <v>1691</v>
      </c>
      <c r="D47" s="2871"/>
      <c r="E47" s="2871"/>
      <c r="F47" s="2872">
        <f>F21</f>
        <v>0.01</v>
      </c>
      <c r="G47" s="2873" t="s">
        <v>3457</v>
      </c>
    </row>
    <row r="48" spans="1:10" ht="14.4">
      <c r="A48" s="4485" t="s">
        <v>3458</v>
      </c>
      <c r="B48" s="4485" t="s">
        <v>3459</v>
      </c>
      <c r="C48" s="2874" t="str">
        <f>F48&amp;"V建1"</f>
        <v>0.01V建1</v>
      </c>
      <c r="D48" s="2871"/>
      <c r="E48" s="2871"/>
      <c r="F48" s="2872">
        <f>F22</f>
        <v>0.01</v>
      </c>
      <c r="G48" s="4605" t="s">
        <v>3989</v>
      </c>
    </row>
    <row r="49" spans="1:7" ht="14.4">
      <c r="A49" s="4485" t="s">
        <v>3460</v>
      </c>
      <c r="B49" s="4491" t="s">
        <v>3366</v>
      </c>
      <c r="C49" s="2768" t="str">
        <f ca="1">C50&amp;"+"&amp;C51&amp;"V建1"</f>
        <v>2561+0.0002V建1</v>
      </c>
      <c r="D49" s="302"/>
      <c r="E49" s="302"/>
      <c r="F49" s="2876">
        <f ca="1">F23</f>
        <v>0.03</v>
      </c>
      <c r="G49" s="4347" t="str">
        <f>IF('数据-取费表'!B22&lt;=1,"单利计息","复利计息")</f>
        <v>单利计息</v>
      </c>
    </row>
    <row r="50" spans="1:7">
      <c r="A50" s="4483" t="s">
        <v>3303</v>
      </c>
      <c r="B50" s="4492" t="s">
        <v>3370</v>
      </c>
      <c r="C50" s="2887">
        <f ca="1">ROUND(IF('数据-取费表'!B22&lt;=1,(C40+C47)*F49*'数据-取费表'!B22/2,(C40+C47)*(POWER((1+F49),'数据-取费表'!B22/2)-1)),0)</f>
        <v>2561</v>
      </c>
      <c r="D50" s="1070"/>
      <c r="E50" s="1070"/>
      <c r="F50" s="1053"/>
      <c r="G50" s="4862" t="str">
        <f ca="1">IF(F10=100%,"建设期均匀投入","已建工期均匀投入")</f>
        <v>建设期均匀投入</v>
      </c>
    </row>
    <row r="51" spans="1:7">
      <c r="A51" s="4483" t="s">
        <v>3304</v>
      </c>
      <c r="B51" s="4489" t="s">
        <v>3309</v>
      </c>
      <c r="C51" s="2888">
        <f ca="1">ROUND(IF('数据-取费表'!B22&lt;=1,F48*F23*'数据-取费表'!B22/2,F48*(POWER((1+F23),'数据-取费表'!B22/2)-1)),4)</f>
        <v>2.0000000000000001E-4</v>
      </c>
      <c r="D51" s="1070"/>
      <c r="E51" s="1070"/>
      <c r="F51" s="1053"/>
      <c r="G51" s="4863"/>
    </row>
    <row r="52" spans="1:7" ht="14.4">
      <c r="A52" s="4485" t="s">
        <v>3461</v>
      </c>
      <c r="B52" s="3007" t="s">
        <v>3310</v>
      </c>
      <c r="C52" s="2878" t="str">
        <f ca="1">C53&amp;"+"&amp;C54&amp;"V建1"</f>
        <v>8538+0.0005V建1</v>
      </c>
      <c r="D52" s="2879"/>
      <c r="E52" s="2871"/>
      <c r="F52" s="2880">
        <f ca="1">F27</f>
        <v>0.05</v>
      </c>
      <c r="G52" s="2881" t="s">
        <v>3462</v>
      </c>
    </row>
    <row r="53" spans="1:7">
      <c r="A53" s="4483" t="s">
        <v>3303</v>
      </c>
      <c r="B53" s="4492" t="s">
        <v>3311</v>
      </c>
      <c r="C53" s="2735">
        <f ca="1">ROUND((C40+C47)*F27,0)</f>
        <v>8538</v>
      </c>
      <c r="D53" s="2736"/>
      <c r="E53" s="2732"/>
      <c r="F53" s="2733"/>
      <c r="G53" s="2734"/>
    </row>
    <row r="54" spans="1:7">
      <c r="A54" s="4483" t="s">
        <v>3304</v>
      </c>
      <c r="B54" s="4492" t="s">
        <v>3312</v>
      </c>
      <c r="C54" s="2799">
        <f ca="1">ROUND(F48*F27,4)</f>
        <v>5.0000000000000001E-4</v>
      </c>
      <c r="D54" s="2736"/>
      <c r="E54" s="2732"/>
      <c r="F54" s="2733"/>
      <c r="G54" s="2734"/>
    </row>
    <row r="55" spans="1:7" ht="14.4">
      <c r="A55" s="4486" t="s">
        <v>3463</v>
      </c>
      <c r="B55" s="2746" t="s">
        <v>3464</v>
      </c>
      <c r="C55" s="4348">
        <v>0</v>
      </c>
      <c r="D55" s="2772"/>
      <c r="E55" s="302"/>
      <c r="F55" s="2876"/>
      <c r="G55" s="2883" t="s">
        <v>3315</v>
      </c>
    </row>
    <row r="56" spans="1:7" ht="16.8">
      <c r="A56" s="4486" t="s">
        <v>3468</v>
      </c>
      <c r="B56" s="4486" t="s">
        <v>3465</v>
      </c>
      <c r="C56" s="2768">
        <f ca="1">ROUND((C40+C47+C50+C53)/(1-F48-C51-C54),0)</f>
        <v>183818</v>
      </c>
      <c r="D56" s="302"/>
      <c r="E56" s="302"/>
      <c r="F56" s="2884"/>
      <c r="G56" s="2883" t="s">
        <v>3316</v>
      </c>
    </row>
    <row r="57" spans="1:7" ht="14.4">
      <c r="A57" s="4486" t="s">
        <v>3432</v>
      </c>
      <c r="B57" s="4493" t="s">
        <v>3298</v>
      </c>
      <c r="C57" s="2768">
        <f ca="1">ROUND(C56*(1-F57),0)</f>
        <v>18382</v>
      </c>
      <c r="D57" s="302"/>
      <c r="E57" s="302"/>
      <c r="F57" s="2884">
        <f>F31</f>
        <v>0.9</v>
      </c>
      <c r="G57" s="2883" t="s">
        <v>3317</v>
      </c>
    </row>
    <row r="58" spans="1:7" ht="16.8">
      <c r="A58" s="4486" t="s">
        <v>3466</v>
      </c>
      <c r="B58" s="4486" t="s">
        <v>3467</v>
      </c>
      <c r="C58" s="2768">
        <f ca="1">C56-C57</f>
        <v>165436</v>
      </c>
      <c r="D58" s="302"/>
      <c r="E58" s="302"/>
      <c r="F58" s="2884"/>
      <c r="G58" s="2883" t="s">
        <v>3318</v>
      </c>
    </row>
    <row r="59" spans="1:7" ht="15" thickBot="1">
      <c r="A59" s="2882" t="s">
        <v>3369</v>
      </c>
      <c r="B59" s="4494" t="s">
        <v>3314</v>
      </c>
      <c r="C59" s="4351">
        <f ca="1">ROUND(C58*(1+F59),0)</f>
        <v>180325</v>
      </c>
      <c r="D59" s="4352"/>
      <c r="E59" s="4352"/>
      <c r="F59" s="4353">
        <f>F33</f>
        <v>0.09</v>
      </c>
      <c r="G59" s="4354" t="s">
        <v>3990</v>
      </c>
    </row>
    <row r="60" spans="1:7" ht="15.6">
      <c r="A60" s="2728"/>
      <c r="B60" s="2729"/>
    </row>
    <row r="62" spans="1:7" ht="21" customHeight="1">
      <c r="B62" s="2798" t="s">
        <v>1498</v>
      </c>
      <c r="C62" s="170"/>
    </row>
    <row r="63" spans="1:7" ht="21" customHeight="1">
      <c r="B63" s="3030" t="s">
        <v>787</v>
      </c>
      <c r="C63" s="4422">
        <f ca="1">1-C64</f>
        <v>0.36299999999999999</v>
      </c>
    </row>
    <row r="64" spans="1:7" ht="21" customHeight="1">
      <c r="B64" s="3030" t="s">
        <v>788</v>
      </c>
      <c r="C64" s="4423">
        <f ca="1">ROUND(C58/C32,3)</f>
        <v>0.63700000000000001</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2294.2212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544170</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20639042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8432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8432</v>
      </c>
      <c r="D10" s="568">
        <f ca="1">IF(B1="",'数据-汇总表'!E6,IF(INDIRECT("'数据-取费表'!c"&amp;$G$1)="住宅",INDIRECT("'数据-取费表'!s"&amp;$G$1),INDIRECT("'数据-取费表'!k"&amp;$G$1)+INDIRECT("'数据-取费表'!s"&amp;$G$1)))</f>
        <v>42.16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11172</v>
      </c>
      <c r="D19" s="572">
        <f ca="1">D9+D10</f>
        <v>42.16</v>
      </c>
      <c r="E19" s="110">
        <f>'数据-取费表'!B31</f>
        <v>265</v>
      </c>
      <c r="F19" s="130"/>
      <c r="G19" s="1437"/>
    </row>
    <row r="20" spans="1:7" s="113" customFormat="1" ht="13.5" customHeight="1">
      <c r="A20" s="154" t="s">
        <v>1510</v>
      </c>
      <c r="B20" s="109" t="s">
        <v>1511</v>
      </c>
      <c r="C20" s="131">
        <f ca="1">ROUND((C5+C19)*F20,0)</f>
        <v>206502</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6">
        <f ca="1">ROUND(SUM(C23:C25),0)</f>
        <v>622604</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619171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335</v>
      </c>
      <c r="D24" s="137"/>
      <c r="E24" s="137"/>
      <c r="F24" s="138"/>
      <c r="G24" s="139" t="s">
        <v>1522</v>
      </c>
    </row>
    <row r="25" spans="1:7" s="113" customFormat="1" ht="24">
      <c r="A25" s="540" t="s">
        <v>1445</v>
      </c>
      <c r="B25" s="114" t="s">
        <v>1523</v>
      </c>
      <c r="C25" s="797">
        <f ca="1">ROUND(IF('数据-取费表'!B22&lt;=1,C20*F22*'数据-取费表'!B22/2,C20*(POWER((1+F22),'数据-取费表'!B22/2)-1)),0)</f>
        <v>3098</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1042836</v>
      </c>
      <c r="D27" s="134">
        <f ca="1">C29</f>
        <v>5.0000000000000001E-4</v>
      </c>
      <c r="E27" s="135" t="s">
        <v>1457</v>
      </c>
      <c r="F27" s="145">
        <f ca="1">IF(B1="",'数据-取费表'!Q16,INDIRECT("'数据-取费表'!q"&amp;$G$1))</f>
        <v>0.05</v>
      </c>
      <c r="G27" s="146" t="s">
        <v>1458</v>
      </c>
    </row>
    <row r="28" spans="1:7" s="113" customFormat="1" ht="13.5" customHeight="1">
      <c r="A28" s="540" t="s">
        <v>344</v>
      </c>
      <c r="B28" s="147" t="s">
        <v>1459</v>
      </c>
      <c r="C28" s="148">
        <f ca="1">ROUND((C5+C19+C20)*F27,0)</f>
        <v>1042836</v>
      </c>
      <c r="D28" s="134"/>
      <c r="E28" s="135"/>
      <c r="F28" s="145"/>
      <c r="G28" s="146"/>
    </row>
    <row r="29" spans="1:7" s="113" customFormat="1" ht="13.5" customHeight="1">
      <c r="A29" s="540" t="s">
        <v>345</v>
      </c>
      <c r="B29" s="147" t="s">
        <v>1460</v>
      </c>
      <c r="C29" s="137">
        <f ca="1">ROUND(C21*F27,4)</f>
        <v>5.0000000000000001E-4</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22779565</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166110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147560</v>
      </c>
      <c r="D34" s="116"/>
      <c r="E34" s="119"/>
      <c r="F34" s="156"/>
      <c r="G34" s="118"/>
    </row>
    <row r="35" spans="1:7" ht="13.5" customHeight="1">
      <c r="A35" s="540" t="s">
        <v>349</v>
      </c>
      <c r="B35" s="114" t="s">
        <v>1468</v>
      </c>
      <c r="C35" s="119">
        <f ca="1">ROUND(C34*F35,0)</f>
        <v>2951</v>
      </c>
      <c r="D35" s="119"/>
      <c r="E35" s="119"/>
      <c r="F35" s="158">
        <f>'数据-取费表'!B33</f>
        <v>0.02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12648</v>
      </c>
      <c r="D37" s="116">
        <f ca="1">D19</f>
        <v>42.16</v>
      </c>
      <c r="E37" s="148">
        <f>'数据-取费表'!B35</f>
        <v>300</v>
      </c>
      <c r="F37" s="158"/>
      <c r="G37" s="160"/>
    </row>
    <row r="38" spans="1:7" ht="13.5" customHeight="1">
      <c r="A38" s="540" t="s">
        <v>352</v>
      </c>
      <c r="B38" s="114" t="s">
        <v>1473</v>
      </c>
      <c r="C38" s="119">
        <f ca="1">ROUND(C34*F38,0)</f>
        <v>2951</v>
      </c>
      <c r="D38" s="119"/>
      <c r="E38" s="119"/>
      <c r="F38" s="158">
        <f>'数据-取费表'!B36</f>
        <v>0.02</v>
      </c>
      <c r="G38" s="118" t="s">
        <v>1469</v>
      </c>
    </row>
    <row r="39" spans="1:7" s="113" customFormat="1" ht="13.5" customHeight="1">
      <c r="A39" s="154" t="s">
        <v>1474</v>
      </c>
      <c r="B39" s="109" t="s">
        <v>1475</v>
      </c>
      <c r="C39" s="131">
        <f ca="1">ROUND(C33*F20,0)</f>
        <v>1661</v>
      </c>
      <c r="D39" s="131"/>
      <c r="E39" s="131"/>
      <c r="F39" s="132">
        <f>F20</f>
        <v>0.01</v>
      </c>
      <c r="G39" s="133" t="s">
        <v>1476</v>
      </c>
    </row>
    <row r="40" spans="1:7" s="113" customFormat="1" ht="13.5" customHeight="1">
      <c r="A40" s="154" t="s">
        <v>1477</v>
      </c>
      <c r="B40" s="109" t="s">
        <v>1478</v>
      </c>
      <c r="C40" s="939">
        <f>F21</f>
        <v>0.01</v>
      </c>
      <c r="D40" s="135" t="s">
        <v>1479</v>
      </c>
      <c r="E40" s="131"/>
      <c r="F40" s="132">
        <f>F21</f>
        <v>0.01</v>
      </c>
      <c r="G40" s="133" t="s">
        <v>1480</v>
      </c>
    </row>
    <row r="41" spans="1:7" s="113" customFormat="1" ht="13.5" customHeight="1">
      <c r="A41" s="154" t="s">
        <v>1481</v>
      </c>
      <c r="B41" s="109" t="s">
        <v>1482</v>
      </c>
      <c r="C41" s="131">
        <f ca="1">ROUND(SUM(C42:C43),0)</f>
        <v>2517</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2492</v>
      </c>
      <c r="D42" s="137"/>
      <c r="E42" s="137"/>
      <c r="F42" s="138"/>
      <c r="G42" s="4862" t="s">
        <v>1527</v>
      </c>
    </row>
    <row r="43" spans="1:7" ht="13.5" customHeight="1">
      <c r="A43" s="540" t="s">
        <v>345</v>
      </c>
      <c r="B43" s="114" t="s">
        <v>1484</v>
      </c>
      <c r="C43" s="137">
        <f ca="1">ROUND(IF('数据-取费表'!B22&lt;=1,C39*F22*'数据-取费表'!B20/2,C39*(POWER((1+F22),'数据-取费表'!B20/2)-1)),0)</f>
        <v>25</v>
      </c>
      <c r="D43" s="137"/>
      <c r="E43" s="137"/>
      <c r="F43" s="138"/>
      <c r="G43" s="4911"/>
    </row>
    <row r="44" spans="1:7" ht="13.5" customHeight="1">
      <c r="A44" s="540" t="s">
        <v>346</v>
      </c>
      <c r="B44" s="114" t="s">
        <v>1485</v>
      </c>
      <c r="C44" s="137">
        <f ca="1">ROUND(IF('数据-取费表'!B22&lt;=1,C40*F22*'数据-取费表'!B20/2,C40*(POWER((1+F22),'数据-取费表'!B20/2)-1)),4)</f>
        <v>2.0000000000000001E-4</v>
      </c>
      <c r="D44" s="137"/>
      <c r="E44" s="137"/>
      <c r="F44" s="138"/>
      <c r="G44" s="4863"/>
    </row>
    <row r="45" spans="1:7" s="113" customFormat="1" ht="13.5" customHeight="1">
      <c r="A45" s="154" t="s">
        <v>1486</v>
      </c>
      <c r="B45" s="143" t="s">
        <v>1456</v>
      </c>
      <c r="C45" s="144">
        <f ca="1">C46</f>
        <v>8389</v>
      </c>
      <c r="D45" s="134">
        <f ca="1">C47</f>
        <v>5.0000000000000001E-4</v>
      </c>
      <c r="E45" s="135" t="s">
        <v>1479</v>
      </c>
      <c r="F45" s="145">
        <f ca="1">F27</f>
        <v>0.05</v>
      </c>
      <c r="G45" s="146" t="s">
        <v>1487</v>
      </c>
    </row>
    <row r="46" spans="1:7" s="113" customFormat="1" ht="13.5" customHeight="1">
      <c r="A46" s="540" t="s">
        <v>344</v>
      </c>
      <c r="B46" s="147" t="s">
        <v>1488</v>
      </c>
      <c r="C46" s="148">
        <f ca="1">ROUND((C33+C39)*F27,0)</f>
        <v>8389</v>
      </c>
      <c r="D46" s="162"/>
      <c r="E46" s="135"/>
      <c r="F46" s="145"/>
      <c r="G46" s="146"/>
    </row>
    <row r="47" spans="1:7" s="113" customFormat="1" ht="13.5" customHeight="1">
      <c r="A47" s="540" t="s">
        <v>345</v>
      </c>
      <c r="B47" s="147" t="s">
        <v>1489</v>
      </c>
      <c r="C47" s="137">
        <f ca="1">ROUND(C40*F27,4)</f>
        <v>5.0000000000000001E-4</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180719</v>
      </c>
      <c r="D49" s="131"/>
      <c r="E49" s="131"/>
      <c r="F49" s="163"/>
      <c r="G49" s="133" t="s">
        <v>1492</v>
      </c>
    </row>
    <row r="50" spans="1:7" s="157" customFormat="1">
      <c r="A50" s="154" t="s">
        <v>1493</v>
      </c>
      <c r="B50" s="109" t="s">
        <v>1494</v>
      </c>
      <c r="C50" s="131"/>
      <c r="D50" s="131"/>
      <c r="E50" s="131"/>
      <c r="F50" s="163">
        <f>IF('数据-取费表'!B24=0,'数据-取费表'!N16,1)</f>
        <v>0.9</v>
      </c>
      <c r="G50" s="146"/>
    </row>
    <row r="51" spans="1:7" ht="16.5" customHeight="1">
      <c r="A51" s="154" t="s">
        <v>1495</v>
      </c>
      <c r="B51" s="109" t="s">
        <v>1529</v>
      </c>
      <c r="C51" s="131">
        <f ca="1">ROUND(C49*F50,0)</f>
        <v>162647</v>
      </c>
      <c r="D51" s="131"/>
      <c r="E51" s="131"/>
      <c r="F51" s="163"/>
      <c r="G51" s="133" t="s">
        <v>1496</v>
      </c>
    </row>
    <row r="52" spans="1:7" s="107" customFormat="1" ht="16.8" thickBot="1">
      <c r="A52" s="164" t="s">
        <v>1497</v>
      </c>
      <c r="B52" s="165"/>
      <c r="C52" s="166">
        <f ca="1">C31+C51</f>
        <v>22942212</v>
      </c>
      <c r="D52" s="165"/>
      <c r="E52" s="165"/>
      <c r="F52" s="165"/>
      <c r="G52" s="167"/>
    </row>
    <row r="55" spans="1:7" ht="15">
      <c r="B55" s="169" t="s">
        <v>1498</v>
      </c>
      <c r="C55" s="170"/>
    </row>
    <row r="56" spans="1:7">
      <c r="B56" s="172" t="s">
        <v>787</v>
      </c>
      <c r="C56" s="174">
        <f ca="1">1-C57</f>
        <v>0.99299999999999999</v>
      </c>
    </row>
    <row r="57" spans="1:7">
      <c r="B57" s="172" t="s">
        <v>788</v>
      </c>
      <c r="C57" s="173">
        <f ca="1">ROUND(C51/C52,3)</f>
        <v>7.0000000000000001E-3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3875</v>
      </c>
      <c r="B4" s="2961" t="s">
        <v>3876</v>
      </c>
      <c r="C4" s="3842" t="s">
        <v>3814</v>
      </c>
      <c r="D4" s="2961" t="s">
        <v>3877</v>
      </c>
      <c r="E4" s="4360" t="s">
        <v>3878</v>
      </c>
      <c r="F4" s="4361"/>
      <c r="G4" s="4362"/>
      <c r="H4" s="2960" t="s">
        <v>3875</v>
      </c>
      <c r="I4" s="2961" t="s">
        <v>3876</v>
      </c>
      <c r="J4" s="3842" t="s">
        <v>3814</v>
      </c>
      <c r="K4" s="2961" t="s">
        <v>3877</v>
      </c>
      <c r="L4" s="4360" t="s">
        <v>3878</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3401</v>
      </c>
      <c r="C5" s="4462">
        <f ca="1">ROUND(C6+C10+C12,0)</f>
        <v>0</v>
      </c>
      <c r="D5" s="4363" t="s">
        <v>3881</v>
      </c>
      <c r="E5" s="4364"/>
      <c r="F5" s="4365"/>
      <c r="G5" s="4362"/>
      <c r="H5" s="4260">
        <v>1</v>
      </c>
      <c r="I5" s="4268" t="s">
        <v>3401</v>
      </c>
      <c r="J5" s="4462">
        <f ca="1">ROUND(J6+J10+J12,0)</f>
        <v>0</v>
      </c>
      <c r="K5" s="4363" t="s">
        <v>3881</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203">
        <f ca="1">C7-C9</f>
        <v>0</v>
      </c>
      <c r="D6" s="2952" t="s">
        <v>3796</v>
      </c>
      <c r="E6" s="2950" t="s">
        <v>3399</v>
      </c>
      <c r="F6" s="3271">
        <f ca="1">INDIRECT("'数据-取费表'!u"&amp;$G$1)</f>
        <v>0</v>
      </c>
      <c r="G6" s="991"/>
      <c r="H6" s="745" t="s">
        <v>392</v>
      </c>
      <c r="I6" s="2951" t="s">
        <v>3792</v>
      </c>
      <c r="J6" s="4453">
        <f ca="1">J7-J9</f>
        <v>0</v>
      </c>
      <c r="K6" s="2952" t="s">
        <v>3796</v>
      </c>
      <c r="L6" s="2950" t="s">
        <v>3399</v>
      </c>
      <c r="M6" s="3271">
        <f ca="1">INDIRECT("'数据-取费表'!z"&amp;$G$1)</f>
        <v>0</v>
      </c>
    </row>
    <row r="7" spans="1:37" ht="18" customHeight="1">
      <c r="A7" s="4912" t="s">
        <v>391</v>
      </c>
      <c r="B7" s="4915" t="s">
        <v>3790</v>
      </c>
      <c r="C7" s="4920">
        <f ca="1">ROUND(F6*F7*F8/10000,2)</f>
        <v>0</v>
      </c>
      <c r="D7" s="4914" t="s">
        <v>3470</v>
      </c>
      <c r="E7" s="4448" t="s">
        <v>682</v>
      </c>
      <c r="F7" s="3969">
        <f ca="1">IF(INDIRECT("'数据-取费表'!ah"&amp;$G$1)="",INDIRECT("'数据-取费表'!k"&amp;$G$1),INDIRECT("'数据-取费表'!ah"&amp;$G$1))</f>
        <v>0</v>
      </c>
      <c r="G7" s="991"/>
      <c r="H7" s="4912" t="s">
        <v>391</v>
      </c>
      <c r="I7" s="4915" t="s">
        <v>3790</v>
      </c>
      <c r="J7" s="4917">
        <f ca="1">ROUND(M6*M8*M7/10000,2)</f>
        <v>0</v>
      </c>
      <c r="K7" s="4914" t="s">
        <v>3470</v>
      </c>
      <c r="L7" s="190" t="s">
        <v>682</v>
      </c>
      <c r="M7" s="3969">
        <f ca="1">F7</f>
        <v>0</v>
      </c>
    </row>
    <row r="8" spans="1:37" ht="18" customHeight="1">
      <c r="A8" s="4913"/>
      <c r="B8" s="4916"/>
      <c r="C8" s="4920"/>
      <c r="D8" s="4914"/>
      <c r="E8" s="190" t="str">
        <f ca="1">IF(F8=1,"年",IF(F8=12,"月","天"))</f>
        <v>天</v>
      </c>
      <c r="F8" s="3676">
        <f ca="1">INDIRECT("'数据-取费表'!ai"&amp;$G$1)</f>
        <v>0</v>
      </c>
      <c r="G8" s="991"/>
      <c r="H8" s="4913"/>
      <c r="I8" s="4916"/>
      <c r="J8" s="4917"/>
      <c r="K8" s="4914"/>
      <c r="L8" s="190" t="str">
        <f ca="1">IF(M8=1,"年",IF(M8=12,"月","天"))</f>
        <v>天</v>
      </c>
      <c r="M8" s="3676">
        <f ca="1">INDIRECT("'数据-取费表'!ai"&amp;$G$1)</f>
        <v>0</v>
      </c>
    </row>
    <row r="9" spans="1:37" ht="18" customHeight="1">
      <c r="A9" s="2937" t="s">
        <v>3400</v>
      </c>
      <c r="B9" s="4452" t="s">
        <v>3791</v>
      </c>
      <c r="C9" s="4451">
        <f ca="1">ROUND(C7*F9,2)</f>
        <v>0</v>
      </c>
      <c r="D9" s="2952" t="s">
        <v>3795</v>
      </c>
      <c r="E9" s="190" t="s">
        <v>684</v>
      </c>
      <c r="F9" s="3004">
        <f ca="1">INDIRECT("'数据-取费表'!w"&amp;$G$1)</f>
        <v>0</v>
      </c>
      <c r="G9" s="991"/>
      <c r="H9" s="2937" t="s">
        <v>3400</v>
      </c>
      <c r="I9" s="4452" t="s">
        <v>3791</v>
      </c>
      <c r="J9" s="4453">
        <f ca="1">ROUND(J7*M9,2)</f>
        <v>0</v>
      </c>
      <c r="K9" s="2952" t="s">
        <v>3795</v>
      </c>
      <c r="L9" s="201" t="s">
        <v>684</v>
      </c>
      <c r="M9" s="3071">
        <f ca="1">INDIRECT("'数据-取费表'!ab"&amp;$G$1)</f>
        <v>0</v>
      </c>
    </row>
    <row r="10" spans="1:37" ht="18" customHeight="1">
      <c r="A10" s="745" t="s">
        <v>396</v>
      </c>
      <c r="B10" s="972" t="s">
        <v>685</v>
      </c>
      <c r="C10" s="4453">
        <f ca="1">ROUND(IF(F10="押一",C6/12*F11,IF(F10="押二",C6/12*2*F11,IF(F10="押三",C6/12*3*F11,C11*F11))),2)</f>
        <v>0</v>
      </c>
      <c r="D10" s="973" t="s">
        <v>2019</v>
      </c>
      <c r="E10" s="201" t="s">
        <v>686</v>
      </c>
      <c r="F10" s="3000"/>
      <c r="G10" s="991"/>
      <c r="H10" s="745" t="s">
        <v>396</v>
      </c>
      <c r="I10" s="972" t="s">
        <v>685</v>
      </c>
      <c r="J10" s="4455">
        <f ca="1">ROUND(IF(M10="押一",J6/12*M11,IF(M10="押二",J6/12*2*M11,IF(M10="押三",J6/12*3*M11,J11*M11))),2)</f>
        <v>0</v>
      </c>
      <c r="K10" s="973" t="s">
        <v>2018</v>
      </c>
      <c r="L10" s="201" t="s">
        <v>686</v>
      </c>
      <c r="M10" s="3000"/>
    </row>
    <row r="11" spans="1:37" ht="18" customHeight="1">
      <c r="A11" s="4262"/>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3882</v>
      </c>
      <c r="C13" s="4201">
        <f ca="1">ROUND(C14+C22+C24+C26,0)</f>
        <v>0</v>
      </c>
      <c r="D13" s="4366" t="s">
        <v>3883</v>
      </c>
      <c r="E13" s="4367"/>
      <c r="F13" s="4365"/>
      <c r="G13" s="4362"/>
      <c r="H13" s="754" t="s">
        <v>3675</v>
      </c>
      <c r="I13" s="755" t="s">
        <v>3882</v>
      </c>
      <c r="J13" s="4201">
        <f ca="1">ROUND(J14+J22+J24+J26,0)</f>
        <v>0</v>
      </c>
      <c r="K13" s="4368" t="s">
        <v>3884</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3966</v>
      </c>
      <c r="C14" s="4453">
        <f ca="1">ROUND(IF(AND(项目基本情况!B11="自然人",项目基本情况!B10="北京市",M56="住宅"),C6*F14,C15+C19+C20),2)</f>
        <v>0</v>
      </c>
      <c r="D14" s="4450" t="s">
        <v>3444</v>
      </c>
      <c r="E14" s="4594" t="str">
        <f>IF(M56="非住宅","","综合税率")</f>
        <v/>
      </c>
      <c r="F14" s="4185" t="str">
        <f>IF(M56="非住宅","",IF(F6*F7*F8/12/(1+'数据-取费表'!F30)&gt;100000,4%,2.5%))</f>
        <v/>
      </c>
      <c r="G14" s="991"/>
      <c r="H14" s="692" t="s">
        <v>392</v>
      </c>
      <c r="I14" s="2950" t="s">
        <v>3966</v>
      </c>
      <c r="J14" s="4453">
        <f ca="1">ROUND(IF(AND(项目基本情况!B11="自然人",项目基本情况!B10="北京市",M56="住宅"),J6*M14/(1+'数据-取费表'!C43),J15+J19+J20),2)</f>
        <v>0</v>
      </c>
      <c r="K14" s="2977" t="s">
        <v>3443</v>
      </c>
      <c r="L14" s="4594" t="str">
        <f>E14</f>
        <v/>
      </c>
      <c r="M14" s="4185" t="str">
        <f>IF(M56="非住宅","",IF(M6*M7*M8/12/(1+'数据-取费表'!F30)&gt;100000,4%,2.5%))</f>
        <v/>
      </c>
    </row>
    <row r="15" spans="1:37" s="1003" customFormat="1" ht="18" customHeight="1">
      <c r="A15" s="2937" t="s">
        <v>3402</v>
      </c>
      <c r="B15" s="2950" t="s">
        <v>3962</v>
      </c>
      <c r="C15" s="4453">
        <f ca="1">C18</f>
        <v>0</v>
      </c>
      <c r="D15" s="4457" t="s">
        <v>3971</v>
      </c>
      <c r="E15" s="4458"/>
      <c r="F15" s="4495"/>
      <c r="G15" s="1002"/>
      <c r="H15" s="2937" t="s">
        <v>391</v>
      </c>
      <c r="I15" s="2950" t="s">
        <v>3962</v>
      </c>
      <c r="J15" s="4453">
        <f ca="1">J18</f>
        <v>0</v>
      </c>
      <c r="K15" s="4457" t="s">
        <v>3961</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3853</v>
      </c>
      <c r="E16" s="2958" t="s">
        <v>3405</v>
      </c>
      <c r="F16" s="3002">
        <v>0.09</v>
      </c>
      <c r="G16" s="991"/>
      <c r="H16" s="2739" t="s">
        <v>3287</v>
      </c>
      <c r="I16" s="2954" t="s">
        <v>3403</v>
      </c>
      <c r="J16" s="2957">
        <f ca="1">ROUND(J6*M16,2)</f>
        <v>0</v>
      </c>
      <c r="K16" s="4338" t="s">
        <v>3859</v>
      </c>
      <c r="L16" s="2958" t="s">
        <v>3405</v>
      </c>
      <c r="M16" s="3002">
        <v>0.09</v>
      </c>
    </row>
    <row r="17" spans="1:37" s="1003" customFormat="1" ht="18" customHeight="1">
      <c r="A17" s="2739" t="s">
        <v>3288</v>
      </c>
      <c r="B17" s="2954" t="s">
        <v>3404</v>
      </c>
      <c r="C17" s="2978">
        <f ca="1">ROUND(C22*F16+((C24+C26)*F17),2)</f>
        <v>0</v>
      </c>
      <c r="D17" s="4337" t="s">
        <v>3854</v>
      </c>
      <c r="E17" s="2959"/>
      <c r="F17" s="3002">
        <v>0.06</v>
      </c>
      <c r="G17" s="1002"/>
      <c r="H17" s="2739" t="s">
        <v>3288</v>
      </c>
      <c r="I17" s="2954" t="s">
        <v>3404</v>
      </c>
      <c r="J17" s="2978">
        <f ca="1">ROUND(J22*M16+((J24+J26)*M17),2)</f>
        <v>0</v>
      </c>
      <c r="K17" s="4337" t="s">
        <v>3854</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3980</v>
      </c>
      <c r="C18" s="2978">
        <f ca="1">ROUND((C16-C17)*F18,2)</f>
        <v>0</v>
      </c>
      <c r="D18" s="2977" t="s">
        <v>3981</v>
      </c>
      <c r="E18" s="190" t="s">
        <v>3982</v>
      </c>
      <c r="F18" s="3002">
        <f>'数据-取费表'!B44</f>
        <v>0.12000000000000001</v>
      </c>
      <c r="G18" s="1002"/>
      <c r="H18" s="2739" t="s">
        <v>3959</v>
      </c>
      <c r="I18" s="2954" t="s">
        <v>3958</v>
      </c>
      <c r="J18" s="2978">
        <f ca="1">ROUND((J16-J17)*M18,2)</f>
        <v>0</v>
      </c>
      <c r="K18" s="2977" t="s">
        <v>3981</v>
      </c>
      <c r="L18" s="190" t="s">
        <v>3982</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4453">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3968</v>
      </c>
      <c r="J19" s="4453">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3964</v>
      </c>
      <c r="C20" s="4455">
        <f ca="1">IF(AND(项目基本情况!B11="自然人",M56="住宅"),"——",ROUND(F20*F21/10000,2))</f>
        <v>0</v>
      </c>
      <c r="D20" s="211" t="s">
        <v>716</v>
      </c>
      <c r="E20" s="190" t="s">
        <v>717</v>
      </c>
      <c r="F20" s="3003">
        <f>'数据-取费表'!B53</f>
        <v>0</v>
      </c>
      <c r="G20" s="991"/>
      <c r="H20" s="4459" t="s">
        <v>666</v>
      </c>
      <c r="I20" s="983" t="s">
        <v>3964</v>
      </c>
      <c r="J20" s="4455">
        <f ca="1">ROUND(M20*M21/10000,2)</f>
        <v>0</v>
      </c>
      <c r="K20" s="211" t="s">
        <v>716</v>
      </c>
      <c r="L20" s="190" t="s">
        <v>717</v>
      </c>
      <c r="M20" s="3003">
        <f>'数据-取费表'!B53</f>
        <v>0</v>
      </c>
    </row>
    <row r="21" spans="1:37" s="1003" customFormat="1" ht="18" customHeight="1">
      <c r="A21" s="213"/>
      <c r="B21" s="776"/>
      <c r="C21" s="4456"/>
      <c r="D21" s="214"/>
      <c r="E21" s="190" t="s">
        <v>721</v>
      </c>
      <c r="F21" s="2998">
        <f ca="1">INDIRECT("'数据-取费表'!r"&amp;$G$1)</f>
        <v>0</v>
      </c>
      <c r="G21" s="1002"/>
      <c r="H21" s="213"/>
      <c r="I21" s="199"/>
      <c r="J21" s="4456"/>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3815</v>
      </c>
      <c r="E22" s="190" t="s">
        <v>697</v>
      </c>
      <c r="F22" s="3004">
        <f ca="1">INDIRECT("'数据-取费表'!Ak"&amp;$G$1)</f>
        <v>0</v>
      </c>
      <c r="G22" s="1002"/>
      <c r="H22" s="4207" t="s">
        <v>396</v>
      </c>
      <c r="I22" s="60" t="s">
        <v>723</v>
      </c>
      <c r="J22" s="4208">
        <f ca="1">ROUND(J35*M22,2)</f>
        <v>0</v>
      </c>
      <c r="K22" s="4281"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50" t="s">
        <v>3816</v>
      </c>
      <c r="F23" s="3676">
        <f ca="1">C51</f>
        <v>0</v>
      </c>
      <c r="G23" s="1002"/>
      <c r="H23" s="213"/>
      <c r="I23" s="199"/>
      <c r="J23" s="4209"/>
      <c r="K23" s="4282"/>
      <c r="L23" s="2950" t="s">
        <v>3816</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3441</v>
      </c>
      <c r="E24" s="190" t="s">
        <v>729</v>
      </c>
      <c r="F24" s="3004">
        <f ca="1">INDIRECT("'数据-取费表'!Al"&amp;$G$1)</f>
        <v>0</v>
      </c>
      <c r="G24" s="991"/>
      <c r="H24" s="4207" t="s">
        <v>431</v>
      </c>
      <c r="I24" s="60" t="s">
        <v>727</v>
      </c>
      <c r="J24" s="4208">
        <f ca="1">ROUND(J37*M24,2)</f>
        <v>0</v>
      </c>
      <c r="K24" s="4281" t="s">
        <v>3819</v>
      </c>
      <c r="L24" s="190" t="s">
        <v>729</v>
      </c>
      <c r="M24" s="3004">
        <f ca="1">INDIRECT("'数据-取费表'!Al"&amp;$G$1)</f>
        <v>0</v>
      </c>
    </row>
    <row r="25" spans="1:37" ht="18" customHeight="1">
      <c r="A25" s="213"/>
      <c r="B25" s="199"/>
      <c r="C25" s="4209"/>
      <c r="D25" s="4282"/>
      <c r="E25" s="4280" t="s">
        <v>3817</v>
      </c>
      <c r="F25" s="3676">
        <f ca="1">C53</f>
        <v>0</v>
      </c>
      <c r="G25" s="991"/>
      <c r="H25" s="213"/>
      <c r="I25" s="199"/>
      <c r="J25" s="4209"/>
      <c r="K25" s="4282"/>
      <c r="L25" s="4280" t="s">
        <v>3817</v>
      </c>
      <c r="M25" s="3676">
        <f ca="1">J37</f>
        <v>0</v>
      </c>
    </row>
    <row r="26" spans="1:37" s="1003" customFormat="1" ht="18" customHeight="1" thickBot="1">
      <c r="A26" s="764" t="s">
        <v>670</v>
      </c>
      <c r="B26" s="765" t="s">
        <v>713</v>
      </c>
      <c r="C26" s="2956">
        <f ca="1">ROUND(C5*F26,2)</f>
        <v>0</v>
      </c>
      <c r="D26" s="767" t="s">
        <v>3860</v>
      </c>
      <c r="E26" s="765" t="s">
        <v>729</v>
      </c>
      <c r="F26" s="3072">
        <f ca="1">INDIRECT("'数据-取费表'!Am"&amp;$G$1)</f>
        <v>0</v>
      </c>
      <c r="G26" s="1002"/>
      <c r="H26" s="764" t="s">
        <v>670</v>
      </c>
      <c r="I26" s="765" t="s">
        <v>713</v>
      </c>
      <c r="J26" s="2956">
        <f ca="1">ROUND(J5*M26,2)</f>
        <v>0</v>
      </c>
      <c r="K26" s="767" t="s">
        <v>3862</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3676</v>
      </c>
      <c r="B27" s="769" t="s">
        <v>3885</v>
      </c>
      <c r="C27" s="4201">
        <f ca="1">C5-C13</f>
        <v>0</v>
      </c>
      <c r="D27" s="4370" t="s">
        <v>3886</v>
      </c>
      <c r="E27" s="4371"/>
      <c r="F27" s="4372"/>
      <c r="G27" s="4373"/>
      <c r="H27" s="754" t="s">
        <v>3299</v>
      </c>
      <c r="I27" s="769" t="s">
        <v>3885</v>
      </c>
      <c r="J27" s="4201">
        <f ca="1">J5-J13</f>
        <v>0</v>
      </c>
      <c r="K27" s="4370" t="s">
        <v>3886</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84">
        <f ca="1">IF(C5&lt;&gt;0,ROUND(C27*(1-((1+F30)/(1+F28))^F29)/(F28-F30),0),0)</f>
        <v>0</v>
      </c>
      <c r="D28" s="4376" t="s">
        <v>3888</v>
      </c>
      <c r="E28" s="2962" t="s">
        <v>3889</v>
      </c>
      <c r="F28" s="3004">
        <f ca="1">INDIRECT("'数据-取费表'!I"&amp;$G$1)</f>
        <v>0</v>
      </c>
      <c r="G28" s="4362"/>
      <c r="H28" s="4260" t="s">
        <v>3677</v>
      </c>
      <c r="I28" s="4263" t="s">
        <v>3890</v>
      </c>
      <c r="J28" s="4284">
        <f ca="1">IF(J5&lt;&gt;0,ROUND(J27*(1-((1+M30)/(1+M28))^M29)/(M28-M30),0),0)</f>
        <v>0</v>
      </c>
      <c r="K28" s="4376" t="s">
        <v>3888</v>
      </c>
      <c r="L28" s="4377" t="s">
        <v>3889</v>
      </c>
      <c r="M28" s="3071">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3891</v>
      </c>
      <c r="E29" s="2962" t="s">
        <v>3892</v>
      </c>
      <c r="F29" s="3005">
        <f ca="1">IF(INDIRECT("'数据-取费表'!af"&amp;$G$1)=0,INDIRECT("'数据-取费表'!ae"&amp;$G$1),INDIRECT("'数据-取费表'!af"&amp;$G$1))</f>
        <v>0</v>
      </c>
      <c r="G29" s="4362"/>
      <c r="H29" s="4261"/>
      <c r="I29" s="4264"/>
      <c r="J29" s="4285"/>
      <c r="K29" s="68" t="s">
        <v>3893</v>
      </c>
      <c r="L29" s="2962" t="s">
        <v>3892</v>
      </c>
      <c r="M29" s="3005">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v>
      </c>
      <c r="G30" s="4362"/>
      <c r="H30" s="4262"/>
      <c r="I30" s="4265"/>
      <c r="J30" s="4286"/>
      <c r="K30" s="68"/>
      <c r="L30" s="2962" t="s">
        <v>3894</v>
      </c>
      <c r="M30" s="3004">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0</v>
      </c>
      <c r="D31" s="4379" t="s">
        <v>3681</v>
      </c>
      <c r="E31" s="4380" t="str">
        <f>IF(D31="其他类型公式—收益价值×（1+9%）","销项税率","征收率")</f>
        <v>销项税率</v>
      </c>
      <c r="F31" s="3004">
        <f>IF(D31="其他类型公式—收益价值×（1+9%）",9%,3%)</f>
        <v>0.09</v>
      </c>
      <c r="G31" s="4373"/>
      <c r="H31" s="203" t="s">
        <v>3678</v>
      </c>
      <c r="I31" s="2962" t="s">
        <v>3896</v>
      </c>
      <c r="J31" s="4461">
        <f ca="1">ROUND(J28/(1+F28)^F29,0)</f>
        <v>0</v>
      </c>
      <c r="K31" s="4277" t="s">
        <v>3809</v>
      </c>
      <c r="L31" s="2962"/>
      <c r="M31" s="3005">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3897</v>
      </c>
      <c r="E32" s="222" t="s">
        <v>3898</v>
      </c>
      <c r="F32" s="3006">
        <f ca="1">INDIRECT("'数据-取费表'!k"&amp;$G$1)</f>
        <v>0</v>
      </c>
      <c r="G32" s="4373"/>
      <c r="H32" s="4179" t="s">
        <v>3679</v>
      </c>
      <c r="I32" s="4180" t="s">
        <v>3899</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3875</v>
      </c>
      <c r="B34" s="4356" t="s">
        <v>3876</v>
      </c>
      <c r="C34" s="4357" t="s">
        <v>3814</v>
      </c>
      <c r="D34" s="4356" t="s">
        <v>3877</v>
      </c>
      <c r="E34" s="4358" t="s">
        <v>3878</v>
      </c>
      <c r="F34" s="4359"/>
      <c r="G34" s="4362"/>
      <c r="H34" s="4355" t="s">
        <v>3875</v>
      </c>
      <c r="I34" s="4356" t="s">
        <v>3876</v>
      </c>
      <c r="J34" s="4357" t="s">
        <v>3814</v>
      </c>
      <c r="K34" s="4356" t="s">
        <v>3877</v>
      </c>
      <c r="L34" s="4358" t="s">
        <v>3878</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3406</v>
      </c>
      <c r="B35" s="2962" t="s">
        <v>3407</v>
      </c>
      <c r="C35" s="4267">
        <f ca="1">SUM(C36:C41)</f>
        <v>0</v>
      </c>
      <c r="D35" s="4277" t="s">
        <v>3414</v>
      </c>
      <c r="E35" s="1053"/>
      <c r="F35" s="3537"/>
      <c r="G35" s="991"/>
      <c r="H35" s="4278" t="s">
        <v>3406</v>
      </c>
      <c r="I35" s="4279"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3861</v>
      </c>
      <c r="C37" s="2939">
        <f ca="1">ROUND(C36*F37,0)</f>
        <v>0</v>
      </c>
      <c r="D37" s="190" t="s">
        <v>696</v>
      </c>
      <c r="E37" s="190" t="s">
        <v>697</v>
      </c>
      <c r="F37" s="3002">
        <f>'数据-取费表'!B33</f>
        <v>0.02</v>
      </c>
      <c r="G37" s="991"/>
      <c r="H37" s="2985" t="s">
        <v>3448</v>
      </c>
      <c r="I37" s="4283" t="s">
        <v>3818</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3811</v>
      </c>
      <c r="F39" s="3003">
        <f>'数据-取费表'!B35</f>
        <v>300</v>
      </c>
      <c r="G39" s="991"/>
    </row>
    <row r="40" spans="1:37" ht="18" customHeight="1">
      <c r="A40" s="2937" t="s">
        <v>3411</v>
      </c>
      <c r="B40" s="2954" t="s">
        <v>3412</v>
      </c>
      <c r="C40" s="2939">
        <f ca="1">ROUND(C36*F40,0)</f>
        <v>0</v>
      </c>
      <c r="D40" s="190" t="s">
        <v>696</v>
      </c>
      <c r="E40" s="190" t="s">
        <v>697</v>
      </c>
      <c r="F40" s="3002">
        <f>'数据-取费表'!B36</f>
        <v>0.02</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2963" t="s">
        <v>3812</v>
      </c>
      <c r="E43" s="2962" t="s">
        <v>3813</v>
      </c>
      <c r="F43" s="3004">
        <f>'数据-取费表'!B39</f>
        <v>0.01</v>
      </c>
      <c r="G43" s="991"/>
      <c r="H43" s="832"/>
      <c r="I43" s="832"/>
      <c r="J43" s="832"/>
      <c r="K43" s="2020"/>
      <c r="L43" s="832"/>
      <c r="M43" s="832"/>
    </row>
    <row r="44" spans="1:37" ht="18" customHeight="1">
      <c r="A44" s="203" t="s">
        <v>3429</v>
      </c>
      <c r="B44" s="2965" t="s">
        <v>3415</v>
      </c>
      <c r="C44" s="3679"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78">
        <f>ROUND(F50/(1+'数据-取费表'!C43),4)</f>
        <v>0</v>
      </c>
      <c r="D50" s="4340" t="s">
        <v>3867</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3879</v>
      </c>
      <c r="E52" s="2962" t="s">
        <v>3880</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8" thickBot="1">
      <c r="A55" s="1010" t="s">
        <v>794</v>
      </c>
      <c r="C55" s="4226" t="e">
        <f ca="1">IF(D2="含税",C83-C31,C80-C28)</f>
        <v>#VALUE!</v>
      </c>
      <c r="D55" s="1012" t="str">
        <f>C2</f>
        <v>万元</v>
      </c>
      <c r="E55" s="1006"/>
      <c r="F55" s="1006"/>
      <c r="I55" s="1013" t="s">
        <v>795</v>
      </c>
      <c r="J55" s="1014"/>
      <c r="K55" s="1015"/>
      <c r="L55" s="4245" t="e">
        <f ca="1">IF(M56="住宅",0,IF(L57&gt;J60,L69,J69))</f>
        <v>#DIV/0!</v>
      </c>
      <c r="O55" s="4398" t="s">
        <v>1325</v>
      </c>
      <c r="P55" s="4399" t="s">
        <v>3904</v>
      </c>
      <c r="Q55" s="4400" t="s">
        <v>3905</v>
      </c>
      <c r="R55" s="4400" t="s">
        <v>3906</v>
      </c>
    </row>
    <row r="56" spans="1:18" s="991" customFormat="1" ht="13.8" thickBot="1">
      <c r="A56" s="4385" t="s">
        <v>3875</v>
      </c>
      <c r="B56" s="4386" t="s">
        <v>3876</v>
      </c>
      <c r="C56" s="4357" t="s">
        <v>3814</v>
      </c>
      <c r="D56" s="4386" t="s">
        <v>3877</v>
      </c>
      <c r="E56" s="4387" t="s">
        <v>3878</v>
      </c>
      <c r="F56" s="739"/>
      <c r="G56" s="515"/>
      <c r="I56" s="1020" t="s">
        <v>800</v>
      </c>
      <c r="J56" s="1021"/>
      <c r="K56" s="1022" t="s">
        <v>801</v>
      </c>
      <c r="L56" s="4246">
        <f ca="1">INDIRECT("'数据-取费表'!d"&amp;$G$1)</f>
        <v>0</v>
      </c>
      <c r="M56" s="987" t="str">
        <f>IF(ISNUMBER(FIND("住宅",C1)),"住宅","非住宅")</f>
        <v>非住宅</v>
      </c>
      <c r="O56" s="4401" t="s">
        <v>397</v>
      </c>
      <c r="P56" s="4402" t="s">
        <v>3907</v>
      </c>
      <c r="Q56" s="4404">
        <f ca="1">C28+J31</f>
        <v>0</v>
      </c>
      <c r="R56" s="4403" t="s">
        <v>3908</v>
      </c>
    </row>
    <row r="57" spans="1:18" s="991" customFormat="1" ht="40.200000000000003" thickBot="1">
      <c r="A57" s="687" t="s">
        <v>432</v>
      </c>
      <c r="B57" s="4263" t="s">
        <v>3900</v>
      </c>
      <c r="C57" s="4388">
        <f ca="1">ROUND(C58+C62+C64,0)</f>
        <v>0</v>
      </c>
      <c r="D57" s="4363" t="s">
        <v>3901</v>
      </c>
      <c r="E57" s="4389"/>
      <c r="F57" s="672"/>
      <c r="G57" s="515"/>
      <c r="H57" s="516"/>
      <c r="I57" s="1027" t="s">
        <v>804</v>
      </c>
      <c r="J57" s="1028"/>
      <c r="K57" s="1029" t="s">
        <v>805</v>
      </c>
      <c r="L57" s="4235">
        <f ca="1">INDIRECT("'数据-取费表'!f"&amp;$G$1)</f>
        <v>0</v>
      </c>
      <c r="O57" s="4401" t="s">
        <v>398</v>
      </c>
      <c r="P57" s="4402" t="s">
        <v>3909</v>
      </c>
      <c r="Q57" s="4404" t="e">
        <f ca="1">J69</f>
        <v>#DIV/0!</v>
      </c>
      <c r="R57" s="4403" t="s">
        <v>3910</v>
      </c>
    </row>
    <row r="58" spans="1:18" s="991" customFormat="1" ht="16.2" thickBot="1">
      <c r="A58" s="4212" t="s">
        <v>3801</v>
      </c>
      <c r="B58" s="2951" t="s">
        <v>3792</v>
      </c>
      <c r="C58" s="4204">
        <f ca="1">C59-C61</f>
        <v>0</v>
      </c>
      <c r="D58" s="2952" t="s">
        <v>3796</v>
      </c>
      <c r="E58" s="2974" t="s">
        <v>3439</v>
      </c>
      <c r="F58" s="3681"/>
      <c r="G58" s="1031"/>
      <c r="H58" s="516"/>
      <c r="I58" s="1027" t="s">
        <v>808</v>
      </c>
      <c r="J58" s="4233"/>
      <c r="K58" s="1029" t="s">
        <v>809</v>
      </c>
      <c r="L58" s="4247"/>
      <c r="O58" s="1034" t="s">
        <v>399</v>
      </c>
      <c r="P58" s="1025" t="s">
        <v>810</v>
      </c>
      <c r="Q58" s="3697">
        <f ca="1">C51</f>
        <v>0</v>
      </c>
      <c r="R58" s="1026" t="s">
        <v>803</v>
      </c>
    </row>
    <row r="59" spans="1:18" s="991" customFormat="1" ht="13.8" thickBot="1">
      <c r="A59" s="4219" t="s">
        <v>3402</v>
      </c>
      <c r="B59" s="4921" t="s">
        <v>3790</v>
      </c>
      <c r="C59" s="4922">
        <f ca="1">ROUND(F58*F60*F59/10000,2)</f>
        <v>0</v>
      </c>
      <c r="D59" s="4914" t="s">
        <v>3470</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8" thickBot="1">
      <c r="A60" s="4220"/>
      <c r="B60" s="4921"/>
      <c r="C60" s="4923"/>
      <c r="D60" s="4914"/>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8" thickBot="1">
      <c r="A61" s="4221" t="s">
        <v>3400</v>
      </c>
      <c r="B61" s="4454" t="s">
        <v>3791</v>
      </c>
      <c r="C61" s="4205">
        <f ca="1">ROUND(C59*F61,2)</f>
        <v>0</v>
      </c>
      <c r="D61" s="2952" t="s">
        <v>3795</v>
      </c>
      <c r="E61" s="691" t="s">
        <v>684</v>
      </c>
      <c r="F61" s="2999"/>
      <c r="I61" s="1043" t="s">
        <v>817</v>
      </c>
      <c r="J61" s="4236"/>
      <c r="K61" s="1043" t="s">
        <v>818</v>
      </c>
      <c r="L61" s="4236"/>
      <c r="O61" s="1034" t="s">
        <v>402</v>
      </c>
      <c r="P61" s="1025" t="s">
        <v>819</v>
      </c>
      <c r="Q61" s="3693">
        <f ca="1">J62</f>
        <v>0</v>
      </c>
      <c r="R61" s="1026" t="s">
        <v>820</v>
      </c>
    </row>
    <row r="62" spans="1:18" s="991" customFormat="1" ht="36.6" thickBot="1">
      <c r="A62" s="4222" t="s">
        <v>3447</v>
      </c>
      <c r="B62" s="980" t="s">
        <v>685</v>
      </c>
      <c r="C62" s="4453">
        <f ca="1">ROUND(IF(F62="押一",C58/12*F11,IF(F62="押二",C58/12*2*F11,IF(F62="押三",C58/12*3*F11,C63*F11))),2)</f>
        <v>0</v>
      </c>
      <c r="D62" s="973" t="s">
        <v>2018</v>
      </c>
      <c r="E62" s="201" t="s">
        <v>686</v>
      </c>
      <c r="F62" s="3682"/>
      <c r="I62" s="1045" t="s">
        <v>821</v>
      </c>
      <c r="J62" s="4237">
        <f ca="1">IF(M56="住宅",IF(D1="——",MAX(J60,L57),MAX(J60,L57-'数据-取费表'!B24)),IF(D1="——",MIN(J60,L57),MIN(J60,L57-'数据-取费表'!B24)))</f>
        <v>0</v>
      </c>
      <c r="K62" s="4918" t="s">
        <v>822</v>
      </c>
      <c r="L62" s="4919"/>
      <c r="O62" s="4401" t="s">
        <v>403</v>
      </c>
      <c r="P62" s="4405" t="s">
        <v>3914</v>
      </c>
      <c r="Q62" s="4404" t="e">
        <f ca="1">ROUND((Q56+Q57)*(1+F31),0)</f>
        <v>#DIV/0!</v>
      </c>
      <c r="R62" s="4403" t="s">
        <v>3915</v>
      </c>
    </row>
    <row r="63" spans="1:18" s="991" customFormat="1" ht="13.8" thickBot="1">
      <c r="A63" s="4213"/>
      <c r="B63" s="3266" t="str">
        <f>IF(OR(F62="自定义",F62=" "),"（自定义押金）","")</f>
        <v/>
      </c>
      <c r="C63" s="295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8" thickBot="1">
      <c r="A64" s="4214" t="s">
        <v>3802</v>
      </c>
      <c r="B64" s="976" t="s">
        <v>688</v>
      </c>
      <c r="C64" s="4202"/>
      <c r="D64" s="973"/>
      <c r="E64" s="4449"/>
      <c r="F64" s="1046"/>
      <c r="I64" s="1049" t="s">
        <v>825</v>
      </c>
      <c r="J64" s="4239" t="e">
        <f ca="1">ROUND(IF(J56="钢混",J66/J59,1-(1-2%)*(J59-J66)/J59),3)</f>
        <v>#DIV/0!</v>
      </c>
      <c r="K64" s="1051" t="s">
        <v>826</v>
      </c>
      <c r="L64" s="1052"/>
      <c r="O64" s="4398" t="s">
        <v>1325</v>
      </c>
      <c r="P64" s="4399" t="s">
        <v>3904</v>
      </c>
      <c r="Q64" s="4400" t="s">
        <v>3905</v>
      </c>
      <c r="R64" s="4400" t="s">
        <v>3906</v>
      </c>
    </row>
    <row r="65" spans="1:18" s="991" customFormat="1" ht="37.200000000000003" thickTop="1" thickBot="1">
      <c r="A65" s="203" t="s">
        <v>3675</v>
      </c>
      <c r="B65" s="668" t="s">
        <v>3882</v>
      </c>
      <c r="C65" s="4461" t="e">
        <f ca="1">ROUND(C66+C74+C76+C78,0)</f>
        <v>#VALUE!</v>
      </c>
      <c r="D65" s="668" t="s">
        <v>3902</v>
      </c>
      <c r="E65" s="671"/>
      <c r="F65" s="672"/>
      <c r="I65" s="1055" t="s">
        <v>827</v>
      </c>
      <c r="J65" s="4240"/>
      <c r="K65" s="1027" t="s">
        <v>828</v>
      </c>
      <c r="L65" s="4235">
        <f ca="1">IF(L57&lt;J60,"——",L57-J62)</f>
        <v>0</v>
      </c>
      <c r="O65" s="4401" t="s">
        <v>397</v>
      </c>
      <c r="P65" s="4402" t="s">
        <v>3907</v>
      </c>
      <c r="Q65" s="4404">
        <f ca="1">C28+J31</f>
        <v>0</v>
      </c>
      <c r="R65" s="4403" t="s">
        <v>3908</v>
      </c>
    </row>
    <row r="66" spans="1:18" s="991" customFormat="1" ht="24.6" thickBot="1">
      <c r="A66" s="546" t="s">
        <v>392</v>
      </c>
      <c r="B66" s="2932" t="s">
        <v>3966</v>
      </c>
      <c r="C66" s="4453" t="e">
        <f ca="1">ROUND(IF(AND(项目基本情况!B11="自然人",项目基本情况!B10="北京市",M56="住宅"),C58*F66,C67+C71+C72),2)</f>
        <v>#VALUE!</v>
      </c>
      <c r="D66" s="673" t="s">
        <v>3444</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3911</v>
      </c>
      <c r="Q66" s="4406" t="e">
        <f ca="1">L69</f>
        <v>#DIV/0!</v>
      </c>
      <c r="R66" s="4403" t="s">
        <v>3912</v>
      </c>
    </row>
    <row r="67" spans="1:18" s="991" customFormat="1" ht="24.6" thickBot="1">
      <c r="A67" s="4459" t="s">
        <v>391</v>
      </c>
      <c r="B67" s="2950" t="s">
        <v>3962</v>
      </c>
      <c r="C67" s="4453">
        <f ca="1">C70</f>
        <v>0</v>
      </c>
      <c r="D67" s="4457" t="s">
        <v>3961</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6" thickBot="1">
      <c r="A68" s="2739" t="s">
        <v>3287</v>
      </c>
      <c r="B68" s="2954" t="s">
        <v>3403</v>
      </c>
      <c r="C68" s="4453">
        <f ca="1">ROUND(C58*F68,2)</f>
        <v>0</v>
      </c>
      <c r="D68" s="1053" t="s">
        <v>3865</v>
      </c>
      <c r="E68" s="2958" t="s">
        <v>3405</v>
      </c>
      <c r="F68" s="3002">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2" thickBot="1">
      <c r="A69" s="2739" t="s">
        <v>3288</v>
      </c>
      <c r="B69" s="2954" t="s">
        <v>3404</v>
      </c>
      <c r="C69" s="4453">
        <f ca="1">ROUND(C74*F68+((C76+C78)*F69),2)</f>
        <v>0</v>
      </c>
      <c r="D69" s="4337" t="s">
        <v>3866</v>
      </c>
      <c r="E69" s="2959"/>
      <c r="F69" s="3002">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8" thickBot="1">
      <c r="A70" s="2739" t="s">
        <v>3959</v>
      </c>
      <c r="B70" s="2954" t="s">
        <v>3958</v>
      </c>
      <c r="C70" s="4453">
        <f ca="1">ROUND((C68-C69)*F70,2)</f>
        <v>0</v>
      </c>
      <c r="D70" s="2977" t="s">
        <v>3981</v>
      </c>
      <c r="E70" s="190" t="s">
        <v>3982</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8" thickBot="1">
      <c r="A71" s="4215" t="s">
        <v>766</v>
      </c>
      <c r="B71" s="2932" t="s">
        <v>3969</v>
      </c>
      <c r="C71" s="4453"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1" t="s">
        <v>403</v>
      </c>
      <c r="P71" s="4405" t="s">
        <v>3914</v>
      </c>
      <c r="Q71" s="4406" t="e">
        <f ca="1">ROUND((Q65+Q66)*(1+F31),0)</f>
        <v>#DIV/0!</v>
      </c>
      <c r="R71" s="4403" t="s">
        <v>3915</v>
      </c>
    </row>
    <row r="72" spans="1:18" s="991" customFormat="1" ht="13.8" thickBot="1">
      <c r="A72" s="4459" t="s">
        <v>769</v>
      </c>
      <c r="B72" s="4446" t="s">
        <v>3964</v>
      </c>
      <c r="C72" s="4455" t="str">
        <f>IF(项目基本情况!B11="自然人","——",ROUND(F72*F73/10000,2))</f>
        <v>——</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8"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8" thickBot="1">
      <c r="A74" s="4216" t="s">
        <v>774</v>
      </c>
      <c r="B74" s="659" t="s">
        <v>775</v>
      </c>
      <c r="C74" s="4208">
        <f ca="1">ROUND(F74*F75,2)</f>
        <v>0</v>
      </c>
      <c r="D74" s="4210" t="s">
        <v>3438</v>
      </c>
      <c r="E74" s="4223" t="s">
        <v>3797</v>
      </c>
      <c r="F74" s="4224">
        <f ca="1">C51</f>
        <v>0</v>
      </c>
      <c r="I74" s="1068" t="s">
        <v>851</v>
      </c>
      <c r="J74" s="3684">
        <v>40</v>
      </c>
      <c r="K74" s="3684">
        <v>30</v>
      </c>
      <c r="L74" s="3684">
        <v>50</v>
      </c>
      <c r="M74" s="1071">
        <v>0.02</v>
      </c>
      <c r="O74" s="4401" t="s">
        <v>397</v>
      </c>
      <c r="P74" s="4402" t="s">
        <v>3907</v>
      </c>
      <c r="Q74" s="4404">
        <f ca="1">C28+J31</f>
        <v>0</v>
      </c>
      <c r="R74" s="4403" t="s">
        <v>3908</v>
      </c>
    </row>
    <row r="75" spans="1:18" s="991" customFormat="1" ht="16.2" thickBot="1">
      <c r="A75" s="4217"/>
      <c r="B75" s="666"/>
      <c r="C75" s="4209"/>
      <c r="D75" s="4211"/>
      <c r="E75" s="660" t="s">
        <v>768</v>
      </c>
      <c r="F75" s="3004">
        <f ca="1">F22</f>
        <v>0</v>
      </c>
      <c r="O75" s="4401" t="s">
        <v>398</v>
      </c>
      <c r="P75" s="4402" t="s">
        <v>3911</v>
      </c>
      <c r="Q75" s="4406" t="e">
        <f ca="1">L69</f>
        <v>#DIV/0!</v>
      </c>
      <c r="R75" s="4403" t="s">
        <v>3913</v>
      </c>
    </row>
    <row r="76" spans="1:18" s="991" customFormat="1" ht="13.8" thickBot="1">
      <c r="A76" s="4216" t="s">
        <v>777</v>
      </c>
      <c r="B76" s="659" t="s">
        <v>727</v>
      </c>
      <c r="C76" s="4208">
        <f ca="1">ROUND(F76*F77,2)</f>
        <v>0</v>
      </c>
      <c r="D76" s="4210" t="s">
        <v>3441</v>
      </c>
      <c r="E76" s="4223" t="s">
        <v>3798</v>
      </c>
      <c r="F76" s="4225">
        <f ca="1">C53</f>
        <v>0</v>
      </c>
      <c r="O76" s="1024"/>
      <c r="P76" s="1025"/>
      <c r="Q76" s="3693"/>
      <c r="R76" s="1026"/>
    </row>
    <row r="77" spans="1:18" s="991" customFormat="1" ht="17.399999999999999" thickBot="1">
      <c r="A77" s="4218"/>
      <c r="B77" s="666"/>
      <c r="C77" s="4209"/>
      <c r="D77" s="4211"/>
      <c r="E77" s="660" t="s">
        <v>729</v>
      </c>
      <c r="F77" s="3004">
        <f ca="1">F24</f>
        <v>0</v>
      </c>
      <c r="O77" s="1034" t="s">
        <v>399</v>
      </c>
      <c r="P77" s="1025" t="s">
        <v>834</v>
      </c>
      <c r="Q77" s="3697">
        <f ca="1">L60</f>
        <v>0</v>
      </c>
      <c r="R77" s="1026" t="s">
        <v>854</v>
      </c>
    </row>
    <row r="78" spans="1:18" s="991" customFormat="1" ht="13.8" thickBot="1">
      <c r="A78" s="4218" t="s">
        <v>778</v>
      </c>
      <c r="B78" s="660" t="s">
        <v>713</v>
      </c>
      <c r="C78" s="4453">
        <f ca="1">ROUND(C57*F78,2)</f>
        <v>0</v>
      </c>
      <c r="D78" s="674" t="s">
        <v>3863</v>
      </c>
      <c r="E78" s="660" t="s">
        <v>697</v>
      </c>
      <c r="F78" s="3004">
        <f ca="1">F26</f>
        <v>0</v>
      </c>
      <c r="O78" s="1034"/>
      <c r="P78" s="1025"/>
      <c r="Q78" s="3697"/>
      <c r="R78" s="1026"/>
    </row>
    <row r="79" spans="1:18" s="991" customFormat="1" ht="24.6" thickBot="1">
      <c r="A79" s="667" t="s">
        <v>3799</v>
      </c>
      <c r="B79" s="677" t="s">
        <v>737</v>
      </c>
      <c r="C79" s="4461" t="e">
        <f ca="1">C57-C65</f>
        <v>#VALUE!</v>
      </c>
      <c r="D79" s="677" t="s">
        <v>3903</v>
      </c>
      <c r="E79" s="4390"/>
      <c r="F79" s="4391"/>
      <c r="O79" s="1034" t="s">
        <v>400</v>
      </c>
      <c r="P79" s="1073" t="s">
        <v>855</v>
      </c>
      <c r="Q79" s="3697">
        <f ca="1">ROUND(Q80-Q81*Q82,0)</f>
        <v>0</v>
      </c>
      <c r="R79" s="1026" t="s">
        <v>408</v>
      </c>
    </row>
    <row r="80" spans="1:18" s="991" customFormat="1" ht="13.8" thickBot="1">
      <c r="A80" s="3452" t="s">
        <v>3800</v>
      </c>
      <c r="B80" s="658" t="s">
        <v>759</v>
      </c>
      <c r="C80" s="4266" t="e">
        <f ca="1">ROUND(C79*(1-((1+F82)/(1+F80))^F81)/(F80-F82),0)</f>
        <v>#VALUE!</v>
      </c>
      <c r="D80" s="4392" t="s">
        <v>3888</v>
      </c>
      <c r="E80" s="668" t="s">
        <v>3889</v>
      </c>
      <c r="F80" s="3004">
        <f ca="1">F28</f>
        <v>0</v>
      </c>
      <c r="O80" s="1034" t="s">
        <v>405</v>
      </c>
      <c r="P80" s="1073" t="s">
        <v>856</v>
      </c>
      <c r="Q80" s="3697">
        <f ca="1">C27</f>
        <v>0</v>
      </c>
      <c r="R80" s="1026" t="s">
        <v>803</v>
      </c>
    </row>
    <row r="81" spans="1:18" s="991" customFormat="1" ht="13.8" thickBot="1">
      <c r="A81" s="3453"/>
      <c r="B81" s="662"/>
      <c r="C81" s="4462"/>
      <c r="D81" s="4393" t="s">
        <v>3893</v>
      </c>
      <c r="E81" s="668" t="s">
        <v>3892</v>
      </c>
      <c r="F81" s="3005">
        <f ca="1">F29</f>
        <v>0</v>
      </c>
      <c r="O81" s="1034" t="s">
        <v>406</v>
      </c>
      <c r="P81" s="1073" t="s">
        <v>857</v>
      </c>
      <c r="Q81" s="3697">
        <f ca="1">C52</f>
        <v>0</v>
      </c>
      <c r="R81" s="1026" t="s">
        <v>803</v>
      </c>
    </row>
    <row r="82" spans="1:18" s="991" customFormat="1" ht="13.8" thickBot="1">
      <c r="A82" s="3454"/>
      <c r="B82" s="3020"/>
      <c r="C82" s="3020"/>
      <c r="D82" s="4394"/>
      <c r="E82" s="668" t="s">
        <v>3894</v>
      </c>
      <c r="F82" s="2999"/>
      <c r="O82" s="1034" t="s">
        <v>407</v>
      </c>
      <c r="P82" s="1073" t="s">
        <v>858</v>
      </c>
      <c r="Q82" s="3694">
        <f ca="1">C88</f>
        <v>0</v>
      </c>
      <c r="R82" s="1026"/>
    </row>
    <row r="83" spans="1:18" s="991" customFormat="1" ht="13.8" thickBot="1">
      <c r="A83" s="664" t="s">
        <v>3803</v>
      </c>
      <c r="B83" s="2979" t="s">
        <v>3445</v>
      </c>
      <c r="C83" s="4201" t="e">
        <f ca="1">ROUND(C80*(1+F31),0)</f>
        <v>#VALUE!</v>
      </c>
      <c r="D83" s="4395" t="str">
        <f>D31</f>
        <v>其他类型公式—收益价值×（1+9%）</v>
      </c>
      <c r="E83" s="1077"/>
      <c r="F83" s="4396"/>
      <c r="O83" s="1034" t="s">
        <v>401</v>
      </c>
      <c r="P83" s="1025" t="s">
        <v>836</v>
      </c>
      <c r="Q83" s="3694">
        <f>L61</f>
        <v>0</v>
      </c>
      <c r="R83" s="1026"/>
    </row>
    <row r="84" spans="1:18" ht="16.2" thickBot="1">
      <c r="A84" s="681" t="s">
        <v>390</v>
      </c>
      <c r="B84" s="682" t="s">
        <v>761</v>
      </c>
      <c r="C84" s="2991" t="e">
        <f ca="1">ROUND(C83*10000/F84,0)</f>
        <v>#VALUE!</v>
      </c>
      <c r="D84" s="4397" t="s">
        <v>3897</v>
      </c>
      <c r="E84" s="682" t="s">
        <v>3898</v>
      </c>
      <c r="F84" s="3006">
        <f ca="1">F32</f>
        <v>0</v>
      </c>
      <c r="G84" s="991"/>
      <c r="H84" s="991"/>
      <c r="O84" s="1034" t="s">
        <v>402</v>
      </c>
      <c r="P84" s="1025" t="s">
        <v>839</v>
      </c>
      <c r="Q84" s="4407" t="e">
        <f ca="1">L67</f>
        <v>#DIV/0!</v>
      </c>
      <c r="R84" s="1026" t="s">
        <v>840</v>
      </c>
    </row>
    <row r="85" spans="1:18" ht="13.8" thickBot="1">
      <c r="A85" s="991"/>
      <c r="B85" s="519"/>
      <c r="C85" s="519"/>
      <c r="D85" s="991"/>
      <c r="E85" s="991"/>
      <c r="F85" s="991"/>
      <c r="O85" s="1034" t="s">
        <v>409</v>
      </c>
      <c r="P85" s="1025" t="str">
        <f>K68</f>
        <v>建筑物剩余耐用年限下的土地年期修正系数Kn</v>
      </c>
      <c r="Q85" s="4407" t="e">
        <f ca="1">L68</f>
        <v>#DIV/0!</v>
      </c>
      <c r="R85" s="1026" t="s">
        <v>841</v>
      </c>
    </row>
    <row r="86" spans="1:18" ht="25.8" thickBot="1">
      <c r="A86" s="991"/>
      <c r="B86" s="172" t="s">
        <v>859</v>
      </c>
      <c r="C86" s="1075"/>
      <c r="D86" s="991"/>
      <c r="E86" s="991"/>
      <c r="F86" s="991"/>
      <c r="K86" s="1008"/>
      <c r="L86" s="991"/>
      <c r="O86" s="4401" t="s">
        <v>403</v>
      </c>
      <c r="P86" s="4405" t="s">
        <v>3914</v>
      </c>
      <c r="Q86" s="4404" t="e">
        <f ca="1">ROUND((Q74+Q75)*(1+F31),0)</f>
        <v>#DIV/0!</v>
      </c>
      <c r="R86" s="4403" t="s">
        <v>3915</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3" zoomScaleNormal="100" zoomScaleSheetLayoutView="100" workbookViewId="0">
      <selection activeCell="D28" sqref="D28"/>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0"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3218</v>
      </c>
      <c r="D1" s="969" t="s">
        <v>41</v>
      </c>
      <c r="E1" s="970" t="s">
        <v>665</v>
      </c>
      <c r="F1" s="742">
        <f ca="1">J62</f>
        <v>41</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3.911</v>
      </c>
      <c r="C2" s="993" t="s">
        <v>790</v>
      </c>
      <c r="D2" s="3584" t="s">
        <v>4084</v>
      </c>
      <c r="E2" s="994"/>
      <c r="F2" s="995"/>
      <c r="G2" s="2137"/>
      <c r="H2" s="2126"/>
      <c r="I2" s="2126"/>
      <c r="J2" s="2126"/>
      <c r="K2" s="2127"/>
      <c r="L2" s="2126"/>
      <c r="M2" s="2126"/>
    </row>
    <row r="3" spans="1:37" ht="18" customHeight="1" thickBot="1">
      <c r="A3" s="996" t="s">
        <v>791</v>
      </c>
      <c r="B3" s="997">
        <f ca="1">IF(ISERROR(D3/F32),0,ROUND(D3/F32,0))</f>
        <v>928</v>
      </c>
      <c r="C3" s="993" t="s">
        <v>792</v>
      </c>
      <c r="D3" s="993">
        <f ca="1">IF(D2="含税",ROUND((C28+J31+L55)*(1+F31),0),C28+J31+L55)</f>
        <v>39110</v>
      </c>
      <c r="E3" s="994"/>
      <c r="F3" s="995"/>
      <c r="G3" s="2137"/>
      <c r="H3" s="486" t="s">
        <v>860</v>
      </c>
      <c r="I3" s="989"/>
      <c r="J3" s="989"/>
      <c r="K3" s="990"/>
      <c r="L3" s="989"/>
      <c r="M3" s="989"/>
    </row>
    <row r="4" spans="1:37" s="4425" customFormat="1" ht="18" customHeight="1">
      <c r="A4" s="2960" t="s">
        <v>3875</v>
      </c>
      <c r="B4" s="2961" t="s">
        <v>3876</v>
      </c>
      <c r="C4" s="3842" t="s">
        <v>3984</v>
      </c>
      <c r="D4" s="2961" t="s">
        <v>3877</v>
      </c>
      <c r="E4" s="4360" t="s">
        <v>3878</v>
      </c>
      <c r="F4" s="4424"/>
      <c r="G4" s="4413"/>
      <c r="H4" s="2960" t="s">
        <v>3875</v>
      </c>
      <c r="I4" s="2961" t="s">
        <v>3876</v>
      </c>
      <c r="J4" s="3842" t="s">
        <v>3984</v>
      </c>
      <c r="K4" s="2961" t="s">
        <v>3877</v>
      </c>
      <c r="L4" s="4426" t="s">
        <v>3878</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3401</v>
      </c>
      <c r="C5" s="4462">
        <f ca="1">C6+C10+C12</f>
        <v>1802</v>
      </c>
      <c r="D5" s="4363" t="s">
        <v>3881</v>
      </c>
      <c r="E5" s="4364"/>
      <c r="F5" s="4365"/>
      <c r="G5" s="4362"/>
      <c r="H5" s="4260">
        <v>1</v>
      </c>
      <c r="I5" s="4263" t="s">
        <v>3916</v>
      </c>
      <c r="J5" s="4462">
        <f ca="1">J6+J10+J12</f>
        <v>0</v>
      </c>
      <c r="K5" s="4363" t="s">
        <v>3881</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597">
        <f ca="1">C7-C9</f>
        <v>1800</v>
      </c>
      <c r="D6" s="2952" t="s">
        <v>3796</v>
      </c>
      <c r="E6" s="2950" t="s">
        <v>3979</v>
      </c>
      <c r="F6" s="3683">
        <f ca="1">INDIRECT("'数据-取费表'!u"&amp;$G$1)</f>
        <v>200</v>
      </c>
      <c r="G6" s="991"/>
      <c r="H6" s="745" t="s">
        <v>392</v>
      </c>
      <c r="I6" s="2951" t="s">
        <v>3792</v>
      </c>
      <c r="J6" s="2939">
        <f ca="1">J7-J9</f>
        <v>0</v>
      </c>
      <c r="K6" s="2952" t="s">
        <v>3796</v>
      </c>
      <c r="L6" s="2950" t="s">
        <v>3979</v>
      </c>
      <c r="M6" s="3702">
        <f ca="1">INDIRECT("'数据-取费表'!z"&amp;$G$1)</f>
        <v>0</v>
      </c>
    </row>
    <row r="7" spans="1:37" ht="18" customHeight="1">
      <c r="A7" s="4912" t="s">
        <v>391</v>
      </c>
      <c r="B7" s="4915" t="s">
        <v>3790</v>
      </c>
      <c r="C7" s="4925">
        <f ca="1">ROUND(F6*F7*F8,0)</f>
        <v>2400</v>
      </c>
      <c r="D7" s="4914" t="s">
        <v>3470</v>
      </c>
      <c r="E7" s="4448" t="s">
        <v>682</v>
      </c>
      <c r="F7" s="3969">
        <f ca="1">IF(INDIRECT("'数据-取费表'!ah"&amp;$G$1)="",INDIRECT("'数据-取费表'!k"&amp;$G$1),INDIRECT("'数据-取费表'!ah"&amp;$G$1))</f>
        <v>1</v>
      </c>
      <c r="G7" s="991"/>
      <c r="H7" s="4912" t="s">
        <v>391</v>
      </c>
      <c r="I7" s="4915" t="s">
        <v>3790</v>
      </c>
      <c r="J7" s="4924">
        <f ca="1">ROUND(M6*M8*M7,0)</f>
        <v>0</v>
      </c>
      <c r="K7" s="4914" t="s">
        <v>3470</v>
      </c>
      <c r="L7" s="190" t="s">
        <v>682</v>
      </c>
      <c r="M7" s="4596">
        <f ca="1">F7</f>
        <v>1</v>
      </c>
    </row>
    <row r="8" spans="1:37" ht="18" customHeight="1">
      <c r="A8" s="4913"/>
      <c r="B8" s="4916"/>
      <c r="C8" s="4925"/>
      <c r="D8" s="4914"/>
      <c r="E8" s="190" t="str">
        <f ca="1">IF(F8=1,"年",IF(F8=12,"月","天"))</f>
        <v>月</v>
      </c>
      <c r="F8" s="3676">
        <f ca="1">INDIRECT("'数据-取费表'!ai"&amp;$G$1)</f>
        <v>12</v>
      </c>
      <c r="G8" s="991"/>
      <c r="H8" s="4913"/>
      <c r="I8" s="4916"/>
      <c r="J8" s="4924"/>
      <c r="K8" s="4914"/>
      <c r="L8" s="190" t="str">
        <f ca="1">IF(M8=1,"年",IF(M8=12,"月","天"))</f>
        <v>月</v>
      </c>
      <c r="M8" s="3704">
        <f ca="1">INDIRECT("'数据-取费表'!ai"&amp;$G$1)</f>
        <v>12</v>
      </c>
    </row>
    <row r="9" spans="1:37" ht="18" customHeight="1">
      <c r="A9" s="2937" t="s">
        <v>3400</v>
      </c>
      <c r="B9" s="4452" t="s">
        <v>3791</v>
      </c>
      <c r="C9" s="4462">
        <f ca="1">ROUND(C7*F9,0)</f>
        <v>600</v>
      </c>
      <c r="D9" s="2952" t="s">
        <v>3795</v>
      </c>
      <c r="E9" s="190" t="s">
        <v>684</v>
      </c>
      <c r="F9" s="3004">
        <f ca="1">INDIRECT("'数据-取费表'!w"&amp;$G$1)</f>
        <v>0.25</v>
      </c>
      <c r="G9" s="991"/>
      <c r="H9" s="2937" t="s">
        <v>3400</v>
      </c>
      <c r="I9" s="4452" t="s">
        <v>3791</v>
      </c>
      <c r="J9" s="4461">
        <f ca="1">ROUND(J7*M9,0)</f>
        <v>0</v>
      </c>
      <c r="K9" s="2952" t="s">
        <v>3795</v>
      </c>
      <c r="L9" s="201" t="s">
        <v>684</v>
      </c>
      <c r="M9" s="3698">
        <f ca="1">INDIRECT("'数据-取费表'!ab"&amp;$G$1)</f>
        <v>0</v>
      </c>
    </row>
    <row r="10" spans="1:37" ht="18" customHeight="1">
      <c r="A10" s="745" t="s">
        <v>396</v>
      </c>
      <c r="B10" s="972" t="s">
        <v>685</v>
      </c>
      <c r="C10" s="4461">
        <f ca="1">ROUND(IF(F10="押一",C6/12*F11,IF(F10="押二",C6/12*2*F11,IF(F10="押三",C6/12*3*F11,C11*F11))),0)</f>
        <v>2</v>
      </c>
      <c r="D10" s="973" t="s">
        <v>2018</v>
      </c>
      <c r="E10" s="201" t="s">
        <v>686</v>
      </c>
      <c r="F10" s="787" t="s">
        <v>4106</v>
      </c>
      <c r="G10" s="991"/>
      <c r="H10" s="745" t="s">
        <v>396</v>
      </c>
      <c r="I10" s="972" t="s">
        <v>685</v>
      </c>
      <c r="J10" s="4266">
        <f ca="1">ROUND(IF(M10="押一",J6/12*M11,IF(M10="押二",J6/12*2*M11,IF(M10="押三",J6/12*3*M11,J11*M11))),0)</f>
        <v>0</v>
      </c>
      <c r="K10" s="973" t="s">
        <v>2018</v>
      </c>
      <c r="L10" s="201" t="s">
        <v>686</v>
      </c>
      <c r="M10" s="3699"/>
    </row>
    <row r="11" spans="1:37" ht="18" customHeight="1">
      <c r="A11" s="4262"/>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3917</v>
      </c>
      <c r="C13" s="4201">
        <f ca="1">ROUND(C14+C22+C24+C26,0)</f>
        <v>781</v>
      </c>
      <c r="D13" s="4601" t="s">
        <v>3918</v>
      </c>
      <c r="E13" s="4367"/>
      <c r="F13" s="4365"/>
      <c r="G13" s="4362"/>
      <c r="H13" s="754" t="s">
        <v>3675</v>
      </c>
      <c r="I13" s="755" t="s">
        <v>3917</v>
      </c>
      <c r="J13" s="4201">
        <f ca="1">ROUND(J14+J22+J24+J26,0)</f>
        <v>1908</v>
      </c>
      <c r="K13" s="4600" t="s">
        <v>3919</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3965</v>
      </c>
      <c r="C14" s="2939">
        <f ca="1">ROUND(IF(AND(项目基本情况!B11="自然人",项目基本情况!B10="北京市",M56="住宅"),C6*F14,C15+C19+C20),2)</f>
        <v>230</v>
      </c>
      <c r="D14" s="4450" t="s">
        <v>3444</v>
      </c>
      <c r="E14" s="4594" t="str">
        <f>IF(M56="非住宅","","综合税率")</f>
        <v/>
      </c>
      <c r="F14" s="4185" t="str">
        <f>IF(M56="非住宅","",IF(F6*F7*F8/12/(1+'数据-取费表'!F30)&gt;100000,4%,2.5%))</f>
        <v/>
      </c>
      <c r="G14" s="991"/>
      <c r="H14" s="692" t="s">
        <v>392</v>
      </c>
      <c r="I14" s="2950" t="s">
        <v>3970</v>
      </c>
      <c r="J14" s="2939">
        <f ca="1">ROUND(IF(AND(项目基本情况!B11="自然人",项目基本情况!B10="北京市",M56="住宅"),J6*M14/(1+'数据-取费表'!C43),J15+J19+J20),0)</f>
        <v>1540</v>
      </c>
      <c r="K14" s="2977" t="s">
        <v>3443</v>
      </c>
      <c r="L14" s="4594" t="str">
        <f>E14</f>
        <v/>
      </c>
      <c r="M14" s="4185" t="str">
        <f>IF(M56="非住宅","",IF(M6*M7*M8/12/(1+'数据-取费表'!F30)&gt;100000,4%,2.5%))</f>
        <v/>
      </c>
    </row>
    <row r="15" spans="1:37" s="1003" customFormat="1" ht="18" customHeight="1">
      <c r="A15" s="2937" t="s">
        <v>391</v>
      </c>
      <c r="B15" s="2950" t="s">
        <v>3962</v>
      </c>
      <c r="C15" s="2939">
        <f ca="1">C18</f>
        <v>14</v>
      </c>
      <c r="D15" s="4457" t="s">
        <v>3961</v>
      </c>
      <c r="E15" s="4458"/>
      <c r="F15" s="4495"/>
      <c r="G15" s="1002"/>
      <c r="H15" s="2937" t="s">
        <v>391</v>
      </c>
      <c r="I15" s="2950" t="s">
        <v>3962</v>
      </c>
      <c r="J15" s="2939">
        <f ca="1">J18</f>
        <v>-4</v>
      </c>
      <c r="K15" s="2952" t="s">
        <v>3961</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162</v>
      </c>
      <c r="D16" s="1053" t="s">
        <v>3855</v>
      </c>
      <c r="E16" s="2958" t="s">
        <v>3405</v>
      </c>
      <c r="F16" s="3002">
        <v>0.09</v>
      </c>
      <c r="G16" s="991"/>
      <c r="H16" s="2739" t="s">
        <v>3287</v>
      </c>
      <c r="I16" s="2954" t="s">
        <v>3403</v>
      </c>
      <c r="J16" s="2887">
        <f ca="1">ROUND(J6*M16,0)</f>
        <v>0</v>
      </c>
      <c r="K16" s="4337" t="s">
        <v>3856</v>
      </c>
      <c r="L16" s="2958" t="s">
        <v>3405</v>
      </c>
      <c r="M16" s="3700">
        <v>0.09</v>
      </c>
    </row>
    <row r="17" spans="1:37" s="1003" customFormat="1" ht="18" customHeight="1">
      <c r="A17" s="2739" t="s">
        <v>3288</v>
      </c>
      <c r="B17" s="2954" t="s">
        <v>3404</v>
      </c>
      <c r="C17" s="3267">
        <f ca="1">ROUND(C22*F16+((C24+C26)*F17),0)</f>
        <v>44</v>
      </c>
      <c r="D17" s="4337" t="s">
        <v>3858</v>
      </c>
      <c r="E17" s="2959"/>
      <c r="F17" s="3002">
        <v>0.06</v>
      </c>
      <c r="G17" s="1002"/>
      <c r="H17" s="2739" t="s">
        <v>3288</v>
      </c>
      <c r="I17" s="2954" t="s">
        <v>3404</v>
      </c>
      <c r="J17" s="3267">
        <f ca="1">ROUND(J22*M16+((J24+J26)*M17),0)</f>
        <v>33</v>
      </c>
      <c r="K17" s="4339" t="s">
        <v>3857</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3958</v>
      </c>
      <c r="C18" s="3267">
        <f ca="1">ROUND((C16-C17)*F18,0)</f>
        <v>14</v>
      </c>
      <c r="D18" s="2977" t="s">
        <v>3981</v>
      </c>
      <c r="E18" s="190" t="s">
        <v>3982</v>
      </c>
      <c r="F18" s="3002">
        <f>'数据-取费表'!B44</f>
        <v>0.12000000000000001</v>
      </c>
      <c r="G18" s="1002"/>
      <c r="H18" s="2739" t="s">
        <v>3959</v>
      </c>
      <c r="I18" s="2954" t="s">
        <v>3958</v>
      </c>
      <c r="J18" s="3267">
        <f ca="1">ROUND((J16-J17)*M18,0)</f>
        <v>-4</v>
      </c>
      <c r="K18" s="2977" t="s">
        <v>3981</v>
      </c>
      <c r="L18" s="190" t="s">
        <v>3982</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3963</v>
      </c>
      <c r="C19" s="2939">
        <f ca="1">IF(AND(项目基本情况!B11="自然人",M56="住宅"),"——",IF(D19="按不含税租金收入（有效毛租金收入）计税",ROUND(C6*F19,0),IF(D19="按房产原值计税",ROUND(C51*F19*0.7,0),INDIRECT("'数据-取费表'!Aj"&amp;$G$1))))</f>
        <v>216</v>
      </c>
      <c r="D19" s="2953" t="s">
        <v>4107</v>
      </c>
      <c r="E19" s="190" t="s">
        <v>697</v>
      </c>
      <c r="F19" s="3002">
        <f>IF(D19="按票据","——",IF(D19="按不含税租金收入（有效毛租金收入）计税",'数据-取费表'!B52,'数据-取费表'!B51))</f>
        <v>0.12</v>
      </c>
      <c r="G19" s="1002"/>
      <c r="H19" s="2937" t="s">
        <v>393</v>
      </c>
      <c r="I19" s="2950" t="s">
        <v>3968</v>
      </c>
      <c r="J19" s="2939">
        <f ca="1">IF(K19="按不含税租金收入（有效毛租金收入）计税",ROUND(J6*M19,0),ROUND(C51*M19*0.7,0))</f>
        <v>1544</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3964</v>
      </c>
      <c r="C20" s="3268">
        <f ca="1">IF(AND(项目基本情况!B11="自然人",M56="住宅"),"——",ROUND(F20*F21,0))</f>
        <v>0</v>
      </c>
      <c r="D20" s="211" t="s">
        <v>716</v>
      </c>
      <c r="E20" s="190" t="s">
        <v>717</v>
      </c>
      <c r="F20" s="3683">
        <f>'数据-取费表'!B53</f>
        <v>0</v>
      </c>
      <c r="G20" s="991"/>
      <c r="H20" s="4459" t="s">
        <v>666</v>
      </c>
      <c r="I20" s="4280" t="s">
        <v>3964</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368</v>
      </c>
      <c r="D22" s="4281" t="s">
        <v>724</v>
      </c>
      <c r="E22" s="190" t="s">
        <v>697</v>
      </c>
      <c r="F22" s="3004">
        <f ca="1">INDIRECT("'数据-取费表'!Ak"&amp;$G$1)</f>
        <v>2E-3</v>
      </c>
      <c r="G22" s="1002"/>
      <c r="H22" s="4207" t="s">
        <v>396</v>
      </c>
      <c r="I22" s="60" t="s">
        <v>723</v>
      </c>
      <c r="J22" s="4227">
        <f ca="1">ROUND(J35*M22,0)</f>
        <v>368</v>
      </c>
      <c r="K22" s="4281" t="s">
        <v>724</v>
      </c>
      <c r="L22" s="190" t="s">
        <v>697</v>
      </c>
      <c r="M22" s="4249">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50" t="s">
        <v>3816</v>
      </c>
      <c r="F23" s="3676">
        <f ca="1">C51</f>
        <v>183818</v>
      </c>
      <c r="G23" s="1002"/>
      <c r="H23" s="213"/>
      <c r="I23" s="199"/>
      <c r="J23" s="4228"/>
      <c r="K23" s="4282"/>
      <c r="L23" s="2950" t="s">
        <v>3816</v>
      </c>
      <c r="M23" s="3704">
        <f ca="1">J35</f>
        <v>183818</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165</v>
      </c>
      <c r="D24" s="4281" t="s">
        <v>3441</v>
      </c>
      <c r="E24" s="190" t="s">
        <v>697</v>
      </c>
      <c r="F24" s="3004">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3817</v>
      </c>
      <c r="F25" s="3676">
        <f ca="1">C53</f>
        <v>165436</v>
      </c>
      <c r="G25" s="991"/>
      <c r="H25" s="213"/>
      <c r="I25" s="199"/>
      <c r="J25" s="4228"/>
      <c r="K25" s="4282"/>
      <c r="L25" s="4280" t="s">
        <v>3817</v>
      </c>
      <c r="M25" s="3704">
        <f ca="1">J37</f>
        <v>0</v>
      </c>
    </row>
    <row r="26" spans="1:37" s="1003" customFormat="1" ht="18" customHeight="1" thickBot="1">
      <c r="A26" s="764" t="s">
        <v>669</v>
      </c>
      <c r="B26" s="765" t="s">
        <v>713</v>
      </c>
      <c r="C26" s="3270">
        <f ca="1">ROUND(C5*F26,0)</f>
        <v>18</v>
      </c>
      <c r="D26" s="767" t="s">
        <v>3862</v>
      </c>
      <c r="E26" s="765" t="s">
        <v>697</v>
      </c>
      <c r="F26" s="3072">
        <f ca="1">INDIRECT("'数据-取费表'!Am"&amp;$G$1)</f>
        <v>0.01</v>
      </c>
      <c r="G26" s="1002"/>
      <c r="H26" s="764" t="s">
        <v>669</v>
      </c>
      <c r="I26" s="765" t="s">
        <v>713</v>
      </c>
      <c r="J26" s="3270">
        <f ca="1">ROUND(J5*M26,0)</f>
        <v>0</v>
      </c>
      <c r="K26" s="767" t="s">
        <v>3862</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3299</v>
      </c>
      <c r="B27" s="769" t="s">
        <v>3920</v>
      </c>
      <c r="C27" s="4201">
        <f ca="1">C5-C13</f>
        <v>1021</v>
      </c>
      <c r="D27" s="4600" t="s">
        <v>3903</v>
      </c>
      <c r="E27" s="4371"/>
      <c r="F27" s="4372"/>
      <c r="G27" s="4373"/>
      <c r="H27" s="754" t="s">
        <v>3299</v>
      </c>
      <c r="I27" s="769" t="s">
        <v>3920</v>
      </c>
      <c r="J27" s="4201">
        <f ca="1">J5-J13</f>
        <v>-1908</v>
      </c>
      <c r="K27" s="4600" t="s">
        <v>3903</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66">
        <f ca="1">ROUND(C27*(1-((1+F30)/(1+F28))^F29)/(F28-F30),0)</f>
        <v>23784</v>
      </c>
      <c r="D28" s="4376" t="s">
        <v>3921</v>
      </c>
      <c r="E28" s="2962" t="s">
        <v>3889</v>
      </c>
      <c r="F28" s="3004">
        <f ca="1">INDIRECT("'数据-取费表'!I"&amp;$G$1)</f>
        <v>0.04</v>
      </c>
      <c r="G28" s="4362"/>
      <c r="H28" s="4260" t="s">
        <v>3677</v>
      </c>
      <c r="I28" s="4268" t="s">
        <v>3808</v>
      </c>
      <c r="J28" s="4284">
        <f ca="1">IF(J5&lt;&gt;0,ROUND(J27*(1-((1+M30)/(1+M28))^M29)/(M28-M30),0),0)</f>
        <v>0</v>
      </c>
      <c r="K28" s="4376" t="s">
        <v>3921</v>
      </c>
      <c r="L28" s="4377" t="s">
        <v>3889</v>
      </c>
      <c r="M28" s="3698">
        <f ca="1">INDIRECT("'数据-取费表'!I"&amp;$G$1)</f>
        <v>0.04</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2" t="s">
        <v>3892</v>
      </c>
      <c r="F29" s="3005">
        <f ca="1">IF(INDIRECT("'数据-取费表'!af"&amp;$G$1)=0,INDIRECT("'数据-取费表'!ae"&amp;$G$1),INDIRECT("'数据-取费表'!af"&amp;$G$1))</f>
        <v>41</v>
      </c>
      <c r="G29" s="4362"/>
      <c r="H29" s="4261"/>
      <c r="I29" s="4264"/>
      <c r="J29" s="4285"/>
      <c r="K29" s="4378"/>
      <c r="L29" s="2962" t="s">
        <v>3892</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0.01</v>
      </c>
      <c r="G30" s="4362"/>
      <c r="H30" s="4262"/>
      <c r="I30" s="4265"/>
      <c r="J30" s="4286"/>
      <c r="K30" s="769"/>
      <c r="L30" s="2962" t="s">
        <v>3894</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25925</v>
      </c>
      <c r="D31" s="4379" t="s">
        <v>3681</v>
      </c>
      <c r="E31" s="4380" t="str">
        <f>IF(D31="其他类型公式—收益价值×（1+9%）","销项税率","征收率")</f>
        <v>销项税率</v>
      </c>
      <c r="F31" s="4410">
        <f>IF(D31="其他类型公式—收益价值×（1+9%）",9%,3%)</f>
        <v>0.09</v>
      </c>
      <c r="G31" s="4373"/>
      <c r="H31" s="203" t="s">
        <v>3678</v>
      </c>
      <c r="I31" s="2962" t="s">
        <v>3896</v>
      </c>
      <c r="J31" s="4461">
        <f ca="1">ROUND(J28/(1+F28)^F29,0)</f>
        <v>0</v>
      </c>
      <c r="K31" s="2921" t="s">
        <v>3922</v>
      </c>
      <c r="L31" s="2962"/>
      <c r="M31" s="4497">
        <f ca="1">INDIRECT("'数据-取费表'!k"&amp;$G$1)</f>
        <v>42.16</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615</v>
      </c>
      <c r="D32" s="4381" t="s">
        <v>3897</v>
      </c>
      <c r="E32" s="222" t="s">
        <v>3898</v>
      </c>
      <c r="F32" s="3006">
        <f ca="1">INDIRECT("'数据-取费表'!k"&amp;$G$1)</f>
        <v>42.16</v>
      </c>
      <c r="G32" s="4373"/>
      <c r="H32" s="4179" t="s">
        <v>3680</v>
      </c>
      <c r="I32" s="4180" t="s">
        <v>3899</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0.43340732519422864</v>
      </c>
      <c r="G33" s="991"/>
    </row>
    <row r="34" spans="1:37" s="122" customFormat="1" ht="18" customHeight="1" thickBot="1">
      <c r="A34" s="4355" t="s">
        <v>3923</v>
      </c>
      <c r="B34" s="4356" t="s">
        <v>3924</v>
      </c>
      <c r="C34" s="4357" t="s">
        <v>3984</v>
      </c>
      <c r="D34" s="4356" t="s">
        <v>3925</v>
      </c>
      <c r="E34" s="4358" t="s">
        <v>3926</v>
      </c>
      <c r="F34" s="4359"/>
      <c r="G34" s="4362"/>
      <c r="H34" s="4355" t="s">
        <v>3923</v>
      </c>
      <c r="I34" s="4356" t="s">
        <v>3924</v>
      </c>
      <c r="J34" s="4357" t="s">
        <v>3984</v>
      </c>
      <c r="K34" s="4356" t="s">
        <v>3925</v>
      </c>
      <c r="L34" s="4358" t="s">
        <v>3926</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60" t="s">
        <v>3406</v>
      </c>
      <c r="B35" s="2961" t="s">
        <v>3407</v>
      </c>
      <c r="C35" s="3678">
        <f ca="1">SUM(C36:C41)</f>
        <v>169061</v>
      </c>
      <c r="D35" s="2973" t="s">
        <v>3414</v>
      </c>
      <c r="E35" s="2969"/>
      <c r="F35" s="2970"/>
      <c r="G35" s="991"/>
      <c r="H35" s="2983" t="s">
        <v>3406</v>
      </c>
      <c r="I35" s="2986" t="s">
        <v>3446</v>
      </c>
      <c r="J35" s="2987">
        <f ca="1">C51</f>
        <v>183818</v>
      </c>
      <c r="K35" s="3451" t="s">
        <v>3442</v>
      </c>
      <c r="L35" s="2988"/>
      <c r="M35" s="3281"/>
    </row>
    <row r="36" spans="1:37" ht="18" customHeight="1">
      <c r="A36" s="2937" t="s">
        <v>391</v>
      </c>
      <c r="B36" s="2902" t="s">
        <v>692</v>
      </c>
      <c r="C36" s="2845">
        <f ca="1">ROUND(INDIRECT("'数据-取费表'!l"&amp;$G$1)*F32+'数据-取费表'!L14*INDIRECT("'数据-取费表'!S"&amp;$G$1),0)</f>
        <v>147560</v>
      </c>
      <c r="D36" s="3027" t="s">
        <v>693</v>
      </c>
      <c r="E36" s="3027"/>
      <c r="F36" s="220"/>
      <c r="G36" s="991"/>
      <c r="H36" s="2984" t="s">
        <v>396</v>
      </c>
      <c r="I36" s="2989" t="s">
        <v>3434</v>
      </c>
      <c r="J36" s="2887">
        <f ca="1">ROUND(J35*(1-M36),0)</f>
        <v>183818</v>
      </c>
      <c r="K36" s="190" t="s">
        <v>3437</v>
      </c>
      <c r="L36" s="2952" t="s">
        <v>3449</v>
      </c>
      <c r="M36" s="3004">
        <f ca="1">INDIRECT("'数据-取费表'!ad"&amp;$G$1)</f>
        <v>0</v>
      </c>
    </row>
    <row r="37" spans="1:37" ht="18" customHeight="1" thickBot="1">
      <c r="A37" s="2937" t="s">
        <v>3400</v>
      </c>
      <c r="B37" s="2902" t="s">
        <v>695</v>
      </c>
      <c r="C37" s="2939">
        <f ca="1">ROUND(C36*F37,0)</f>
        <v>2951</v>
      </c>
      <c r="D37" s="190" t="s">
        <v>696</v>
      </c>
      <c r="E37" s="190" t="s">
        <v>697</v>
      </c>
      <c r="F37" s="3002">
        <f>'数据-取费表'!B33</f>
        <v>0.02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12648</v>
      </c>
      <c r="D39" s="190" t="s">
        <v>702</v>
      </c>
      <c r="E39" s="190" t="s">
        <v>3869</v>
      </c>
      <c r="F39" s="3687">
        <f>'数据-取费表'!B35</f>
        <v>300</v>
      </c>
      <c r="G39" s="991"/>
    </row>
    <row r="40" spans="1:37" ht="18" customHeight="1">
      <c r="A40" s="2937" t="s">
        <v>668</v>
      </c>
      <c r="B40" s="2954" t="s">
        <v>3291</v>
      </c>
      <c r="C40" s="2939">
        <f ca="1">ROUND(C36*F40,0)</f>
        <v>2951</v>
      </c>
      <c r="D40" s="190" t="s">
        <v>696</v>
      </c>
      <c r="E40" s="190" t="s">
        <v>697</v>
      </c>
      <c r="F40" s="3002">
        <f>'数据-取费表'!B36</f>
        <v>0.02</v>
      </c>
      <c r="G40" s="991"/>
      <c r="H40" s="832"/>
      <c r="I40" s="832"/>
      <c r="J40" s="832"/>
      <c r="K40" s="2020"/>
      <c r="L40" s="832"/>
      <c r="M40" s="832"/>
    </row>
    <row r="41" spans="1:37" ht="18" customHeight="1">
      <c r="A41" s="2937" t="s">
        <v>668</v>
      </c>
      <c r="B41" s="2954" t="s">
        <v>3292</v>
      </c>
      <c r="C41" s="2939">
        <f ca="1">ROUND(C36*F41,0)</f>
        <v>2951</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1691</v>
      </c>
      <c r="D42" s="3031"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3031" t="s">
        <v>3427</v>
      </c>
      <c r="E43" s="2962" t="s">
        <v>3428</v>
      </c>
      <c r="F43" s="3004">
        <f>'数据-取费表'!B39</f>
        <v>0.01</v>
      </c>
      <c r="G43" s="991"/>
      <c r="H43" s="832"/>
      <c r="I43" s="832"/>
      <c r="J43" s="832"/>
      <c r="K43" s="2020"/>
      <c r="L43" s="832"/>
      <c r="M43" s="832"/>
    </row>
    <row r="44" spans="1:37" ht="18" customHeight="1">
      <c r="A44" s="203" t="s">
        <v>3429</v>
      </c>
      <c r="B44" s="2965" t="s">
        <v>3366</v>
      </c>
      <c r="C44" s="3679" t="str">
        <f ca="1">C45&amp;"+"&amp;C46&amp;"V建"</f>
        <v>2561+0.0002V建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2561</v>
      </c>
      <c r="D45" s="3030" t="str">
        <f>IF(F45&lt;=1,"(建造成本+管理费用)×利率×(建设周期÷2)","(建造成本+管理费用)×((1+利率)^(建设周期÷2)-1)")</f>
        <v>(建造成本+管理费用)×利率×(建设周期÷2)</v>
      </c>
      <c r="E45" s="190" t="s">
        <v>726</v>
      </c>
      <c r="F45" s="368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3310</v>
      </c>
      <c r="C47" s="3679" t="str">
        <f ca="1">C48&amp;"+"&amp;C49&amp;"V建"</f>
        <v>8538+0.0005V建</v>
      </c>
      <c r="D47" s="2921" t="s">
        <v>3431</v>
      </c>
      <c r="E47" s="204"/>
      <c r="F47" s="3003"/>
      <c r="G47" s="991"/>
      <c r="H47" s="832"/>
      <c r="I47" s="832"/>
      <c r="J47" s="832"/>
      <c r="K47" s="2020"/>
      <c r="L47" s="832"/>
      <c r="M47" s="832"/>
    </row>
    <row r="48" spans="1:37" ht="18" customHeight="1">
      <c r="A48" s="2937" t="s">
        <v>391</v>
      </c>
      <c r="B48" s="190" t="s">
        <v>739</v>
      </c>
      <c r="C48" s="2939">
        <f ca="1">ROUND((C35+C42)*F48,0)</f>
        <v>8538</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7">
        <f ca="1">ROUND(F43*F48,4)</f>
        <v>5.0000000000000001E-4</v>
      </c>
      <c r="D49" s="1915" t="s">
        <v>746</v>
      </c>
      <c r="E49" s="190"/>
      <c r="F49" s="3002"/>
      <c r="G49" s="991"/>
      <c r="H49" s="832"/>
      <c r="I49" s="832"/>
      <c r="J49" s="832"/>
      <c r="K49" s="2020"/>
      <c r="L49" s="832"/>
      <c r="M49" s="832"/>
    </row>
    <row r="50" spans="1:37" s="122" customFormat="1" ht="18" customHeight="1">
      <c r="A50" s="203" t="s">
        <v>3928</v>
      </c>
      <c r="B50" s="2962" t="s">
        <v>3418</v>
      </c>
      <c r="C50" s="4342">
        <f>ROUND(F50/(1+'数据-取费表'!C43),4)</f>
        <v>0</v>
      </c>
      <c r="D50" s="4340" t="s">
        <v>3868</v>
      </c>
      <c r="E50" s="2962"/>
      <c r="F50" s="3004"/>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3929</v>
      </c>
      <c r="B51" s="2962" t="s">
        <v>3930</v>
      </c>
      <c r="C51" s="4342">
        <f ca="1">ROUND((C35+C42+C45+C48)/(1-F43-C46-C49-C50),0)</f>
        <v>183818</v>
      </c>
      <c r="D51" s="2976" t="s">
        <v>3442</v>
      </c>
      <c r="E51" s="2962"/>
      <c r="F51" s="3004"/>
      <c r="K51" s="4413"/>
      <c r="Q51" s="4408"/>
    </row>
    <row r="52" spans="1:37" s="4362" customFormat="1" ht="18" customHeight="1">
      <c r="A52" s="2966" t="s">
        <v>3432</v>
      </c>
      <c r="B52" s="2965" t="s">
        <v>3434</v>
      </c>
      <c r="C52" s="4342">
        <f ca="1">ROUND(C51*(1-F52),0)</f>
        <v>18382</v>
      </c>
      <c r="D52" s="2962" t="s">
        <v>3931</v>
      </c>
      <c r="E52" s="2962" t="s">
        <v>3932</v>
      </c>
      <c r="F52" s="3004">
        <f ca="1">INDIRECT("'数据-取费表'!y"&amp;$G$1)</f>
        <v>0.9</v>
      </c>
      <c r="K52" s="4413"/>
      <c r="Q52" s="4408"/>
    </row>
    <row r="53" spans="1:37" s="4362" customFormat="1" ht="18" customHeight="1" thickBot="1">
      <c r="A53" s="2967" t="s">
        <v>3927</v>
      </c>
      <c r="B53" s="2975" t="s">
        <v>3440</v>
      </c>
      <c r="C53" s="2991">
        <f ca="1">C51-C52</f>
        <v>165436</v>
      </c>
      <c r="D53" s="2971" t="s">
        <v>3933</v>
      </c>
      <c r="E53" s="222"/>
      <c r="F53" s="2972"/>
      <c r="K53" s="4413"/>
      <c r="Q53" s="4408"/>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8" thickBot="1">
      <c r="A55" s="2702" t="s">
        <v>3960</v>
      </c>
      <c r="C55" s="4603" t="e">
        <f ca="1">ROUND(IF(D2="含税",C83-C31,C80-C28)/10000,4)</f>
        <v>#VALUE!</v>
      </c>
      <c r="D55" s="1012" t="str">
        <f>C2</f>
        <v>万元</v>
      </c>
      <c r="E55" s="1006"/>
      <c r="F55" s="1006"/>
      <c r="I55" s="1013" t="s">
        <v>795</v>
      </c>
      <c r="J55" s="1014"/>
      <c r="K55" s="1015"/>
      <c r="L55" s="4245">
        <f ca="1">IF(M56="住宅",0,IF(L57&gt;J60,L69,J69))</f>
        <v>12097</v>
      </c>
      <c r="O55" s="4398" t="s">
        <v>1325</v>
      </c>
      <c r="P55" s="4399" t="s">
        <v>3904</v>
      </c>
      <c r="Q55" s="4419" t="s">
        <v>3905</v>
      </c>
      <c r="R55" s="4400" t="s">
        <v>3906</v>
      </c>
    </row>
    <row r="56" spans="1:37" s="991" customFormat="1" ht="13.8" thickBot="1">
      <c r="A56" s="4385" t="s">
        <v>3875</v>
      </c>
      <c r="B56" s="4386" t="s">
        <v>3876</v>
      </c>
      <c r="C56" s="4357" t="s">
        <v>3984</v>
      </c>
      <c r="D56" s="4386" t="s">
        <v>3877</v>
      </c>
      <c r="E56" s="4387" t="s">
        <v>3878</v>
      </c>
      <c r="F56" s="4414"/>
      <c r="G56" s="515"/>
      <c r="I56" s="1020" t="s">
        <v>800</v>
      </c>
      <c r="J56" s="1021" t="s">
        <v>4109</v>
      </c>
      <c r="K56" s="1022" t="s">
        <v>801</v>
      </c>
      <c r="L56" s="4246">
        <f ca="1">INDIRECT("'数据-取费表'!d"&amp;$G$1)</f>
        <v>50</v>
      </c>
      <c r="M56" s="987" t="str">
        <f>IF(ISNUMBER(FIND("住宅",C1)),"住宅","非住宅")</f>
        <v>非住宅</v>
      </c>
      <c r="O56" s="4401" t="s">
        <v>397</v>
      </c>
      <c r="P56" s="4405" t="s">
        <v>3944</v>
      </c>
      <c r="Q56" s="4406">
        <f ca="1">C28+J31</f>
        <v>23784</v>
      </c>
      <c r="R56" s="4403" t="s">
        <v>3908</v>
      </c>
    </row>
    <row r="57" spans="1:37" s="991" customFormat="1" ht="40.200000000000003" thickBot="1">
      <c r="A57" s="686" t="s">
        <v>432</v>
      </c>
      <c r="B57" s="4263" t="s">
        <v>3900</v>
      </c>
      <c r="C57" s="4388">
        <f ca="1">C58+C62+C64</f>
        <v>0</v>
      </c>
      <c r="D57" s="4363" t="s">
        <v>3934</v>
      </c>
      <c r="E57" s="4389"/>
      <c r="F57" s="4415"/>
      <c r="G57" s="515"/>
      <c r="H57" s="516"/>
      <c r="I57" s="1027" t="s">
        <v>804</v>
      </c>
      <c r="J57" s="1028" t="s">
        <v>4110</v>
      </c>
      <c r="K57" s="1029" t="s">
        <v>805</v>
      </c>
      <c r="L57" s="4235">
        <f ca="1">INDIRECT("'数据-取费表'!f"&amp;$G$1)</f>
        <v>41</v>
      </c>
      <c r="O57" s="4401" t="s">
        <v>398</v>
      </c>
      <c r="P57" s="4402" t="s">
        <v>3909</v>
      </c>
      <c r="Q57" s="4406">
        <f ca="1">J69</f>
        <v>12097</v>
      </c>
      <c r="R57" s="4403" t="s">
        <v>3910</v>
      </c>
    </row>
    <row r="58" spans="1:37" s="991" customFormat="1" ht="15" customHeight="1" thickBot="1">
      <c r="A58" s="4212" t="s">
        <v>3805</v>
      </c>
      <c r="B58" s="2951" t="s">
        <v>3792</v>
      </c>
      <c r="C58" s="2994">
        <f ca="1">C59-C61</f>
        <v>0</v>
      </c>
      <c r="D58" s="2952" t="s">
        <v>3796</v>
      </c>
      <c r="E58" s="2974" t="s">
        <v>3439</v>
      </c>
      <c r="F58" s="2996"/>
      <c r="G58" s="1031"/>
      <c r="H58" s="516"/>
      <c r="I58" s="1027" t="s">
        <v>808</v>
      </c>
      <c r="J58" s="4233">
        <v>2021</v>
      </c>
      <c r="K58" s="1029" t="s">
        <v>809</v>
      </c>
      <c r="L58" s="4247"/>
      <c r="O58" s="1034" t="s">
        <v>399</v>
      </c>
      <c r="P58" s="4421" t="s">
        <v>3945</v>
      </c>
      <c r="Q58" s="3693">
        <f ca="1">C51</f>
        <v>183818</v>
      </c>
      <c r="R58" s="1026" t="s">
        <v>803</v>
      </c>
    </row>
    <row r="59" spans="1:37" s="991" customFormat="1" ht="15" customHeight="1" thickBot="1">
      <c r="A59" s="4219" t="s">
        <v>3793</v>
      </c>
      <c r="B59" s="4915" t="s">
        <v>3790</v>
      </c>
      <c r="C59" s="4266">
        <f ca="1">ROUND(F58*F60*F59,0)</f>
        <v>0</v>
      </c>
      <c r="D59" s="4914" t="s">
        <v>3470</v>
      </c>
      <c r="E59" s="736" t="s">
        <v>682</v>
      </c>
      <c r="F59" s="2997">
        <f ca="1">F7</f>
        <v>1</v>
      </c>
      <c r="H59" s="516"/>
      <c r="I59" s="1027" t="s">
        <v>811</v>
      </c>
      <c r="J59" s="4251">
        <f>SUMPRODUCT((I72:I74=J56)*(J71:L71=J57)*(J72:L74))</f>
        <v>60</v>
      </c>
      <c r="K59" s="1029" t="s">
        <v>812</v>
      </c>
      <c r="L59" s="4247">
        <f>基准地价修正!C42</f>
        <v>1776</v>
      </c>
      <c r="M59" s="1036"/>
      <c r="O59" s="1034" t="s">
        <v>400</v>
      </c>
      <c r="P59" s="1025" t="s">
        <v>813</v>
      </c>
      <c r="Q59" s="3694">
        <f ca="1">J67</f>
        <v>0.4</v>
      </c>
      <c r="R59" s="1026"/>
    </row>
    <row r="60" spans="1:37" s="991" customFormat="1" ht="15" customHeight="1" thickBot="1">
      <c r="A60" s="4496"/>
      <c r="B60" s="4916"/>
      <c r="C60" s="4200"/>
      <c r="D60" s="4914"/>
      <c r="E60" s="691" t="str">
        <f ca="1">IF(F60=1,"年",IF(F60=12,"月","天"))</f>
        <v>月</v>
      </c>
      <c r="F60" s="2998">
        <f ca="1">F8</f>
        <v>12</v>
      </c>
      <c r="I60" s="1038" t="s">
        <v>814</v>
      </c>
      <c r="J60" s="4235">
        <f>IF(J58="",J59,J58+J59-YEAR('数据-取费表'!B2))</f>
        <v>55</v>
      </c>
      <c r="K60" s="1040" t="s">
        <v>815</v>
      </c>
      <c r="L60" s="4224">
        <f ca="1">ROUND(-PV(INDIRECT("'数据-取费表'!h"&amp;$G$1),J60,(C27-C52*C88),0),0)</f>
        <v>4703</v>
      </c>
      <c r="M60" s="1042"/>
      <c r="O60" s="1034" t="s">
        <v>401</v>
      </c>
      <c r="P60" s="1025" t="s">
        <v>816</v>
      </c>
      <c r="Q60" s="3694">
        <f>J61</f>
        <v>4.4999999999999998E-2</v>
      </c>
      <c r="R60" s="1026"/>
    </row>
    <row r="61" spans="1:37" s="991" customFormat="1" ht="15" customHeight="1" thickBot="1">
      <c r="A61" s="4199" t="s">
        <v>3794</v>
      </c>
      <c r="B61" s="4452" t="s">
        <v>3791</v>
      </c>
      <c r="C61" s="2995">
        <f ca="1">ROUND(C59*F61,0)</f>
        <v>0</v>
      </c>
      <c r="D61" s="2952" t="s">
        <v>3795</v>
      </c>
      <c r="E61" s="691" t="s">
        <v>684</v>
      </c>
      <c r="F61" s="2999"/>
      <c r="I61" s="1043" t="s">
        <v>817</v>
      </c>
      <c r="J61" s="4236">
        <v>4.4999999999999998E-2</v>
      </c>
      <c r="K61" s="1043" t="s">
        <v>818</v>
      </c>
      <c r="L61" s="4250">
        <v>3.5</v>
      </c>
      <c r="O61" s="1034" t="s">
        <v>402</v>
      </c>
      <c r="P61" s="1025" t="s">
        <v>819</v>
      </c>
      <c r="Q61" s="3693">
        <f ca="1">J62</f>
        <v>41</v>
      </c>
      <c r="R61" s="1026" t="s">
        <v>820</v>
      </c>
    </row>
    <row r="62" spans="1:37" s="991" customFormat="1" ht="36.6" thickBot="1">
      <c r="A62" s="4222" t="s">
        <v>3447</v>
      </c>
      <c r="B62" s="980" t="s">
        <v>685</v>
      </c>
      <c r="C62" s="4461">
        <f ca="1">ROUND(IF(F62="押一",C58/12*F11,IF(F62="押二",C58/12*2*F11,IF(F62="押三",C58/12*3*F11,C63*F11))),0)</f>
        <v>0</v>
      </c>
      <c r="D62" s="973" t="s">
        <v>2018</v>
      </c>
      <c r="E62" s="201" t="s">
        <v>686</v>
      </c>
      <c r="F62" s="3000"/>
      <c r="I62" s="1045" t="s">
        <v>821</v>
      </c>
      <c r="J62" s="4237">
        <f ca="1">IF(M56="住宅",IF(D1="——",MAX(J60,L57),MAX(J60,L57-'数据-取费表'!B24)),IF(D1="——",MIN(J60,L57),MIN(J60,L57-'数据-取费表'!B24)))</f>
        <v>41</v>
      </c>
      <c r="K62" s="4918" t="s">
        <v>822</v>
      </c>
      <c r="L62" s="4919"/>
      <c r="O62" s="4401" t="s">
        <v>403</v>
      </c>
      <c r="P62" s="4405" t="s">
        <v>3946</v>
      </c>
      <c r="Q62" s="4406">
        <f ca="1">ROUND((Q56+Q57)*(1+F31),0)</f>
        <v>39110</v>
      </c>
      <c r="R62" s="4403" t="s">
        <v>3948</v>
      </c>
    </row>
    <row r="63" spans="1:37" s="991" customFormat="1" ht="13.8"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8" thickBot="1">
      <c r="A64" s="758" t="s">
        <v>431</v>
      </c>
      <c r="B64" s="976" t="s">
        <v>688</v>
      </c>
      <c r="C64" s="2981"/>
      <c r="D64" s="973"/>
      <c r="E64" s="4449"/>
      <c r="F64" s="1046"/>
      <c r="I64" s="1049" t="s">
        <v>825</v>
      </c>
      <c r="J64" s="1050">
        <f ca="1">ROUND(IF(J56="钢混",J66/J59,1-(1-2%)*(J59-J66)/J59),3)</f>
        <v>0.23300000000000001</v>
      </c>
      <c r="K64" s="1051" t="s">
        <v>826</v>
      </c>
      <c r="L64" s="1052"/>
      <c r="O64" s="4398" t="s">
        <v>1325</v>
      </c>
      <c r="P64" s="4399" t="s">
        <v>3904</v>
      </c>
      <c r="Q64" s="4419" t="s">
        <v>3905</v>
      </c>
      <c r="R64" s="4400" t="s">
        <v>3906</v>
      </c>
    </row>
    <row r="65" spans="1:18" s="991" customFormat="1" ht="37.200000000000003" thickTop="1" thickBot="1">
      <c r="A65" s="203" t="s">
        <v>3935</v>
      </c>
      <c r="B65" s="668" t="s">
        <v>3917</v>
      </c>
      <c r="C65" s="4461" t="e">
        <f ca="1">ROUND(C66+C74+C76+C78,0)</f>
        <v>#VALUE!</v>
      </c>
      <c r="D65" s="668" t="s">
        <v>3936</v>
      </c>
      <c r="E65" s="4416"/>
      <c r="F65" s="672"/>
      <c r="I65" s="1055" t="s">
        <v>827</v>
      </c>
      <c r="J65" s="1056" t="s">
        <v>4111</v>
      </c>
      <c r="K65" s="1027" t="s">
        <v>828</v>
      </c>
      <c r="L65" s="4235" t="str">
        <f ca="1">IF(L57&lt;J60,"——",L57-J62)</f>
        <v>——</v>
      </c>
      <c r="O65" s="4401" t="s">
        <v>397</v>
      </c>
      <c r="P65" s="4405" t="s">
        <v>3944</v>
      </c>
      <c r="Q65" s="4406">
        <f ca="1">C28+J31</f>
        <v>23784</v>
      </c>
      <c r="R65" s="4403" t="s">
        <v>3908</v>
      </c>
    </row>
    <row r="66" spans="1:18" s="991" customFormat="1" ht="24.6" thickBot="1">
      <c r="A66" s="546" t="s">
        <v>392</v>
      </c>
      <c r="B66" s="2932" t="s">
        <v>3970</v>
      </c>
      <c r="C66" s="2939" t="e">
        <f ca="1">ROUND(IF(AND(项目基本情况!B11="自然人",项目基本情况!B10="北京市",M56="住宅"),C58*F66,C67+C71+C72),0)</f>
        <v>#VALUE!</v>
      </c>
      <c r="D66" s="673" t="s">
        <v>3444</v>
      </c>
      <c r="E66" s="673" t="str">
        <f>E14</f>
        <v/>
      </c>
      <c r="F66" s="4185" t="str">
        <f>IF(M56="非住宅","",IF(F58*F59*F60/12/(1+'数据-取费表'!F30)&gt;100000,4%,2.5%))</f>
        <v/>
      </c>
      <c r="I66" s="1061" t="s">
        <v>829</v>
      </c>
      <c r="J66" s="4241">
        <f ca="1">IF(OR(M56="住宅",J60&lt;L57,J65="是"),"——",J60-L57)</f>
        <v>14</v>
      </c>
      <c r="K66" s="1027" t="s">
        <v>830</v>
      </c>
      <c r="L66" s="4248" t="str">
        <f ca="1">IF(L57&lt;J60,"——",IF(L64="比较法",L58,IF(L64="基准地价",L59,L60)))</f>
        <v>——</v>
      </c>
      <c r="O66" s="4401" t="s">
        <v>398</v>
      </c>
      <c r="P66" s="4402" t="s">
        <v>3911</v>
      </c>
      <c r="Q66" s="4406">
        <f ca="1">L69</f>
        <v>0</v>
      </c>
      <c r="R66" s="4403" t="s">
        <v>3912</v>
      </c>
    </row>
    <row r="67" spans="1:18" s="991" customFormat="1" ht="24.6" thickBot="1">
      <c r="A67" s="2937" t="s">
        <v>391</v>
      </c>
      <c r="B67" s="2950" t="s">
        <v>3962</v>
      </c>
      <c r="C67" s="2939">
        <f ca="1">C70</f>
        <v>-5</v>
      </c>
      <c r="D67" s="2952" t="s">
        <v>3961</v>
      </c>
      <c r="E67" s="4458"/>
      <c r="F67" s="4495"/>
      <c r="I67" s="1061" t="s">
        <v>832</v>
      </c>
      <c r="J67" s="4242">
        <f ca="1">IF(J64&lt;0.4,0.4,J64)</f>
        <v>0.4</v>
      </c>
      <c r="K67" s="1040" t="s">
        <v>833</v>
      </c>
      <c r="L67" s="4248">
        <f ca="1">ROUND(POWER(1+L61,L56-L57)*(POWER(1+L61,L57)-1)/(POWER(1+L61,L56)-1),4)</f>
        <v>1</v>
      </c>
      <c r="O67" s="1034" t="s">
        <v>399</v>
      </c>
      <c r="P67" s="1025" t="s">
        <v>834</v>
      </c>
      <c r="Q67" s="3693">
        <f>IF(L64="比较法",L58,IF(L64="基准地价",L59,0))</f>
        <v>0</v>
      </c>
      <c r="R67" s="1026" t="s">
        <v>803</v>
      </c>
    </row>
    <row r="68" spans="1:18" s="991" customFormat="1" ht="24.6" thickBot="1">
      <c r="A68" s="2739" t="s">
        <v>3287</v>
      </c>
      <c r="B68" s="2954" t="s">
        <v>3403</v>
      </c>
      <c r="C68" s="2939">
        <f ca="1">ROUND(C58*F68,0)</f>
        <v>0</v>
      </c>
      <c r="D68" s="1053" t="s">
        <v>3864</v>
      </c>
      <c r="E68" s="2958" t="s">
        <v>3405</v>
      </c>
      <c r="F68" s="3002">
        <f>F16</f>
        <v>0.09</v>
      </c>
      <c r="I68" s="1061" t="s">
        <v>835</v>
      </c>
      <c r="J68" s="4243">
        <f ca="1">IF(OR(M56="住宅",J60&lt;L57,J65="是"),"——",ROUND(C51*J67,0))</f>
        <v>73527</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f ca="1">ROUND(IF(D1="在建（套用方法）",M68,IF(D1="土地（套用方法）",N68,POWER(1+L61,L56-J60)*(POWER(1+L61,J60)-1)/(POWER(1+L61,L56)-1))),4)</f>
        <v>1</v>
      </c>
      <c r="M68" s="987">
        <f ca="1">ROUND(POWER(1+L61,L56-(J60+'数据-取费表'!B24))*(POWER(1+L61,(J60+'数据-取费表'!B24))-1)/(POWER(1+L61,L56)-1),4)</f>
        <v>1</v>
      </c>
      <c r="N68" s="987">
        <f ca="1">ROUND(POWER(1+L61,L56-(J60+'数据-取费表'!B20))*(POWER(1+L61,(J60+'数据-取费表'!B20))-1)/(POWER(1+L61,L56)-1),4)</f>
        <v>1</v>
      </c>
      <c r="O68" s="1034" t="s">
        <v>400</v>
      </c>
      <c r="P68" s="1025" t="s">
        <v>836</v>
      </c>
      <c r="Q68" s="3694">
        <f>L61</f>
        <v>3.5</v>
      </c>
      <c r="R68" s="1026"/>
    </row>
    <row r="69" spans="1:18" s="991" customFormat="1" ht="16.2" thickBot="1">
      <c r="A69" s="2739" t="s">
        <v>3288</v>
      </c>
      <c r="B69" s="2954" t="s">
        <v>3404</v>
      </c>
      <c r="C69" s="2939">
        <f ca="1">ROUND(C74*F68+((C76+C78)*F69),0)</f>
        <v>43</v>
      </c>
      <c r="D69" s="4337" t="s">
        <v>3858</v>
      </c>
      <c r="E69" s="2959"/>
      <c r="F69" s="3002">
        <f>F17</f>
        <v>0.06</v>
      </c>
      <c r="I69" s="1064" t="s">
        <v>837</v>
      </c>
      <c r="J69" s="4244">
        <f ca="1">IF(OR(M56="住宅",J60&lt;L57,J65="是"),"0",ROUND(J68/(1+J61)^J62,0))</f>
        <v>12097</v>
      </c>
      <c r="K69" s="1066" t="s">
        <v>838</v>
      </c>
      <c r="L69" s="4244">
        <f ca="1">IF(OR(M56="住宅",L57&lt;J60),0,ROUND(L66*(L67/L68-1),0))</f>
        <v>0</v>
      </c>
      <c r="O69" s="1034" t="s">
        <v>401</v>
      </c>
      <c r="P69" s="1025" t="s">
        <v>839</v>
      </c>
      <c r="Q69" s="3696">
        <f ca="1">L67</f>
        <v>1</v>
      </c>
      <c r="R69" s="1026" t="s">
        <v>840</v>
      </c>
    </row>
    <row r="70" spans="1:18" s="991" customFormat="1" ht="13.8" thickBot="1">
      <c r="A70" s="2739" t="s">
        <v>3959</v>
      </c>
      <c r="B70" s="2954" t="s">
        <v>3958</v>
      </c>
      <c r="C70" s="2939">
        <f ca="1">ROUND((C68-C69)*F70,0)</f>
        <v>-5</v>
      </c>
      <c r="D70" s="2977" t="s">
        <v>3981</v>
      </c>
      <c r="E70" s="190" t="s">
        <v>3983</v>
      </c>
      <c r="F70" s="3002">
        <f>F18</f>
        <v>0.12000000000000001</v>
      </c>
      <c r="I70" s="1067"/>
      <c r="J70" s="1067"/>
      <c r="K70" s="1067"/>
      <c r="L70" s="1067"/>
      <c r="O70" s="1034" t="s">
        <v>402</v>
      </c>
      <c r="P70" s="1025" t="str">
        <f>K68</f>
        <v>建筑物剩余耐用年限下的土地年期修正系数Kn</v>
      </c>
      <c r="Q70" s="3696">
        <f ca="1">L68</f>
        <v>1</v>
      </c>
      <c r="R70" s="1026" t="s">
        <v>841</v>
      </c>
    </row>
    <row r="71" spans="1:18" s="991" customFormat="1" ht="13.8" thickBot="1">
      <c r="A71" s="2937" t="s">
        <v>766</v>
      </c>
      <c r="B71" s="2932" t="s">
        <v>3968</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1" t="s">
        <v>403</v>
      </c>
      <c r="P71" s="4405" t="s">
        <v>3947</v>
      </c>
      <c r="Q71" s="4406">
        <f ca="1">ROUND((Q65+Q66)*(1+F31),0)</f>
        <v>25925</v>
      </c>
      <c r="R71" s="4403" t="s">
        <v>3948</v>
      </c>
    </row>
    <row r="72" spans="1:18" s="991" customFormat="1" ht="13.8" thickBot="1">
      <c r="A72" s="4459" t="s">
        <v>769</v>
      </c>
      <c r="B72" s="4447" t="s">
        <v>3964</v>
      </c>
      <c r="C72" s="3268" t="str">
        <f>IF(项目基本情况!B11="自然人","——",ROUND(F72*F73,0))</f>
        <v>——</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8" thickBot="1">
      <c r="A73" s="4460"/>
      <c r="B73" s="666"/>
      <c r="C73" s="3269"/>
      <c r="D73" s="676"/>
      <c r="E73" s="660" t="s">
        <v>721</v>
      </c>
      <c r="F73" s="3271">
        <f t="shared" ca="1" si="0"/>
        <v>0</v>
      </c>
      <c r="I73" s="3688" t="s">
        <v>850</v>
      </c>
      <c r="J73" s="3684">
        <v>50</v>
      </c>
      <c r="K73" s="3684">
        <v>35</v>
      </c>
      <c r="L73" s="3684">
        <v>60</v>
      </c>
      <c r="M73" s="1070">
        <v>0</v>
      </c>
      <c r="O73" s="4398" t="s">
        <v>1325</v>
      </c>
      <c r="P73" s="4399" t="s">
        <v>3904</v>
      </c>
      <c r="Q73" s="4419" t="s">
        <v>3905</v>
      </c>
      <c r="R73" s="4400" t="s">
        <v>3906</v>
      </c>
    </row>
    <row r="74" spans="1:18" s="991" customFormat="1" ht="13.8" thickBot="1">
      <c r="A74" s="4216" t="s">
        <v>774</v>
      </c>
      <c r="B74" s="659" t="s">
        <v>775</v>
      </c>
      <c r="C74" s="4227">
        <f ca="1">ROUND(F74*F75,0)</f>
        <v>368</v>
      </c>
      <c r="D74" s="4210" t="s">
        <v>724</v>
      </c>
      <c r="E74" s="2932" t="s">
        <v>3804</v>
      </c>
      <c r="F74" s="4224">
        <f ca="1">C51</f>
        <v>183818</v>
      </c>
      <c r="I74" s="3688" t="s">
        <v>851</v>
      </c>
      <c r="J74" s="3684">
        <v>40</v>
      </c>
      <c r="K74" s="3684">
        <v>30</v>
      </c>
      <c r="L74" s="3684">
        <v>50</v>
      </c>
      <c r="M74" s="1071">
        <v>0.02</v>
      </c>
      <c r="O74" s="4401" t="s">
        <v>397</v>
      </c>
      <c r="P74" s="4402" t="s">
        <v>3907</v>
      </c>
      <c r="Q74" s="4404">
        <f ca="1">C28+J31</f>
        <v>23784</v>
      </c>
      <c r="R74" s="4403" t="s">
        <v>3908</v>
      </c>
    </row>
    <row r="75" spans="1:18" s="991" customFormat="1" ht="16.2" thickBot="1">
      <c r="A75" s="4218"/>
      <c r="B75" s="666"/>
      <c r="C75" s="4228"/>
      <c r="D75" s="4211"/>
      <c r="E75" s="660" t="s">
        <v>697</v>
      </c>
      <c r="F75" s="3004">
        <f ca="1">F22</f>
        <v>2E-3</v>
      </c>
      <c r="O75" s="4401" t="s">
        <v>398</v>
      </c>
      <c r="P75" s="4402" t="s">
        <v>3911</v>
      </c>
      <c r="Q75" s="4420">
        <f ca="1">L69</f>
        <v>0</v>
      </c>
      <c r="R75" s="4403" t="s">
        <v>3913</v>
      </c>
    </row>
    <row r="76" spans="1:18" s="991" customFormat="1" ht="13.8" thickBot="1">
      <c r="A76" s="4216" t="s">
        <v>777</v>
      </c>
      <c r="B76" s="659" t="s">
        <v>727</v>
      </c>
      <c r="C76" s="4227">
        <f ca="1">ROUND(F76*F77,0)</f>
        <v>165</v>
      </c>
      <c r="D76" s="4210" t="s">
        <v>3441</v>
      </c>
      <c r="E76" s="2932" t="s">
        <v>3440</v>
      </c>
      <c r="F76" s="4225">
        <f ca="1">C53</f>
        <v>165436</v>
      </c>
      <c r="O76" s="1024"/>
      <c r="P76" s="1025"/>
      <c r="Q76" s="3696"/>
      <c r="R76" s="1026"/>
    </row>
    <row r="77" spans="1:18" s="991" customFormat="1" ht="17.399999999999999" thickBot="1">
      <c r="A77" s="4218"/>
      <c r="B77" s="666"/>
      <c r="C77" s="4228"/>
      <c r="D77" s="4211"/>
      <c r="E77" s="660" t="s">
        <v>697</v>
      </c>
      <c r="F77" s="3004">
        <f ca="1">F24</f>
        <v>1E-3</v>
      </c>
      <c r="O77" s="1034" t="s">
        <v>399</v>
      </c>
      <c r="P77" s="1025" t="s">
        <v>834</v>
      </c>
      <c r="Q77" s="3697">
        <f ca="1">L60</f>
        <v>4703</v>
      </c>
      <c r="R77" s="1026" t="s">
        <v>854</v>
      </c>
    </row>
    <row r="78" spans="1:18" s="4362" customFormat="1" ht="13.8" thickBot="1">
      <c r="A78" s="546" t="s">
        <v>778</v>
      </c>
      <c r="B78" s="660" t="s">
        <v>713</v>
      </c>
      <c r="C78" s="2939">
        <f ca="1">ROUND(C57*F78,0)</f>
        <v>0</v>
      </c>
      <c r="D78" s="674" t="s">
        <v>3862</v>
      </c>
      <c r="E78" s="660" t="s">
        <v>697</v>
      </c>
      <c r="F78" s="3004">
        <f ca="1">F26</f>
        <v>0.01</v>
      </c>
      <c r="G78" s="991"/>
      <c r="H78" s="991"/>
      <c r="O78" s="1034"/>
      <c r="P78" s="1025"/>
      <c r="Q78" s="3697"/>
      <c r="R78" s="1026"/>
    </row>
    <row r="79" spans="1:18" s="4362" customFormat="1" ht="24.6" thickBot="1">
      <c r="A79" s="667" t="s">
        <v>3937</v>
      </c>
      <c r="B79" s="677" t="s">
        <v>3885</v>
      </c>
      <c r="C79" s="4461" t="e">
        <f ca="1">C57-C65</f>
        <v>#VALUE!</v>
      </c>
      <c r="D79" s="677" t="s">
        <v>3886</v>
      </c>
      <c r="E79" s="4390"/>
      <c r="F79" s="4391"/>
      <c r="O79" s="1034" t="s">
        <v>400</v>
      </c>
      <c r="P79" s="1073" t="s">
        <v>3938</v>
      </c>
      <c r="Q79" s="3697">
        <f ca="1">ROUND(Q80-Q81*Q82,0)</f>
        <v>194</v>
      </c>
      <c r="R79" s="1026" t="s">
        <v>408</v>
      </c>
    </row>
    <row r="80" spans="1:18" s="4362" customFormat="1" ht="13.8" thickBot="1">
      <c r="A80" s="3452" t="s">
        <v>388</v>
      </c>
      <c r="B80" s="658" t="s">
        <v>3887</v>
      </c>
      <c r="C80" s="4266" t="e">
        <f ca="1">ROUND(C79*(1-((1+F82)/(1+F80))^F81)/(F80-F82),0)</f>
        <v>#VALUE!</v>
      </c>
      <c r="D80" s="4392" t="s">
        <v>3888</v>
      </c>
      <c r="E80" s="668" t="s">
        <v>3889</v>
      </c>
      <c r="F80" s="3004">
        <f ca="1">F28</f>
        <v>0.04</v>
      </c>
      <c r="O80" s="1034" t="s">
        <v>405</v>
      </c>
      <c r="P80" s="1073" t="s">
        <v>3939</v>
      </c>
      <c r="Q80" s="3697">
        <f ca="1">C27</f>
        <v>1021</v>
      </c>
      <c r="R80" s="1026" t="s">
        <v>803</v>
      </c>
    </row>
    <row r="81" spans="1:18" s="4362" customFormat="1" ht="13.8" thickBot="1">
      <c r="A81" s="3453"/>
      <c r="B81" s="662"/>
      <c r="C81" s="4462"/>
      <c r="D81" s="4393" t="s">
        <v>3893</v>
      </c>
      <c r="E81" s="668" t="s">
        <v>3892</v>
      </c>
      <c r="F81" s="3005">
        <f ca="1">F29</f>
        <v>41</v>
      </c>
      <c r="O81" s="1034" t="s">
        <v>406</v>
      </c>
      <c r="P81" s="1073" t="s">
        <v>3940</v>
      </c>
      <c r="Q81" s="3697">
        <f ca="1">C52</f>
        <v>18382</v>
      </c>
      <c r="R81" s="1026" t="s">
        <v>803</v>
      </c>
    </row>
    <row r="82" spans="1:18" s="4362" customFormat="1" ht="13.8" thickBot="1">
      <c r="A82" s="4417"/>
      <c r="B82" s="4418"/>
      <c r="C82" s="4418"/>
      <c r="D82" s="4394"/>
      <c r="E82" s="668" t="s">
        <v>3894</v>
      </c>
      <c r="F82" s="2999"/>
      <c r="O82" s="1034" t="s">
        <v>407</v>
      </c>
      <c r="P82" s="1073" t="s">
        <v>3941</v>
      </c>
      <c r="Q82" s="3694">
        <f ca="1">C88</f>
        <v>4.4999999999999998E-2</v>
      </c>
      <c r="R82" s="1026"/>
    </row>
    <row r="83" spans="1:18" s="4362" customFormat="1" ht="13.8" thickBot="1">
      <c r="A83" s="664"/>
      <c r="B83" s="2979" t="s">
        <v>3943</v>
      </c>
      <c r="C83" s="4201" t="e">
        <f ca="1">ROUND(C80*(1+F31),0)</f>
        <v>#VALUE!</v>
      </c>
      <c r="D83" s="4602" t="str">
        <f>D31</f>
        <v>其他类型公式—收益价值×（1+9%）</v>
      </c>
      <c r="E83" s="1077"/>
      <c r="F83" s="4396"/>
      <c r="O83" s="1034" t="s">
        <v>401</v>
      </c>
      <c r="P83" s="1025" t="s">
        <v>3942</v>
      </c>
      <c r="Q83" s="3694">
        <f>L61</f>
        <v>3.5</v>
      </c>
      <c r="R83" s="1026"/>
    </row>
    <row r="84" spans="1:18" ht="16.2" thickBot="1">
      <c r="A84" s="681" t="s">
        <v>389</v>
      </c>
      <c r="B84" s="682" t="s">
        <v>761</v>
      </c>
      <c r="C84" s="2991" t="e">
        <f ca="1">ROUND(C83/F84,0)</f>
        <v>#VALUE!</v>
      </c>
      <c r="D84" s="4397" t="s">
        <v>3897</v>
      </c>
      <c r="E84" s="682" t="s">
        <v>3898</v>
      </c>
      <c r="F84" s="3006">
        <f ca="1">F32</f>
        <v>42.16</v>
      </c>
      <c r="G84" s="4362"/>
      <c r="H84" s="4362"/>
      <c r="O84" s="1034" t="s">
        <v>402</v>
      </c>
      <c r="P84" s="1025" t="s">
        <v>839</v>
      </c>
      <c r="Q84" s="3696">
        <f ca="1">L67</f>
        <v>1</v>
      </c>
      <c r="R84" s="1026" t="s">
        <v>840</v>
      </c>
    </row>
    <row r="85" spans="1:18" ht="13.8" thickBot="1">
      <c r="A85" s="991"/>
      <c r="B85" s="519"/>
      <c r="C85" s="519"/>
      <c r="D85" s="991"/>
      <c r="E85" s="991"/>
      <c r="F85" s="991"/>
      <c r="O85" s="1034" t="s">
        <v>409</v>
      </c>
      <c r="P85" s="1025" t="str">
        <f>K68</f>
        <v>建筑物剩余耐用年限下的土地年期修正系数Kn</v>
      </c>
      <c r="Q85" s="3696">
        <f ca="1">L68</f>
        <v>1</v>
      </c>
      <c r="R85" s="1026" t="s">
        <v>841</v>
      </c>
    </row>
    <row r="86" spans="1:18" ht="13.8" thickBot="1">
      <c r="A86" s="991"/>
      <c r="B86" s="172" t="s">
        <v>859</v>
      </c>
      <c r="C86" s="1075"/>
      <c r="D86" s="991"/>
      <c r="E86" s="991"/>
      <c r="F86" s="991"/>
      <c r="K86" s="1008"/>
      <c r="L86" s="991"/>
      <c r="O86" s="4401" t="s">
        <v>403</v>
      </c>
      <c r="P86" s="4405" t="s">
        <v>3947</v>
      </c>
      <c r="Q86" s="4404">
        <f ca="1">ROUND((Q74+Q75)*(1+F31),0)</f>
        <v>25925</v>
      </c>
      <c r="R86" s="4403" t="s">
        <v>3948</v>
      </c>
    </row>
    <row r="87" spans="1:18">
      <c r="A87" s="991"/>
      <c r="B87" s="227" t="s">
        <v>780</v>
      </c>
      <c r="C87" s="3073">
        <f ca="1">ROUND(C53*C88,0)</f>
        <v>7445</v>
      </c>
      <c r="D87" s="991"/>
      <c r="E87" s="991"/>
      <c r="F87" s="991"/>
      <c r="I87" s="991"/>
      <c r="J87" s="991"/>
      <c r="K87" s="1008"/>
      <c r="L87" s="991"/>
    </row>
    <row r="88" spans="1:18">
      <c r="B88" s="229" t="s">
        <v>781</v>
      </c>
      <c r="C88" s="2964">
        <f ca="1">INDIRECT("'数据-取费表'!j"&amp;$G$1)</f>
        <v>4.4999999999999998E-2</v>
      </c>
      <c r="I88" s="991"/>
      <c r="J88" s="991"/>
      <c r="K88" s="1008"/>
      <c r="L88" s="991"/>
    </row>
    <row r="89" spans="1:18">
      <c r="B89" s="231" t="s">
        <v>782</v>
      </c>
      <c r="C89" s="232"/>
    </row>
    <row r="90" spans="1:18">
      <c r="B90" s="169" t="s">
        <v>783</v>
      </c>
      <c r="C90" s="233"/>
    </row>
    <row r="91" spans="1:18">
      <c r="B91" s="227" t="s">
        <v>784</v>
      </c>
      <c r="C91" s="3074">
        <f ca="1">1-C92</f>
        <v>-6.2919999999999998</v>
      </c>
    </row>
    <row r="92" spans="1:18">
      <c r="B92" s="227" t="s">
        <v>785</v>
      </c>
      <c r="C92" s="3074">
        <f ca="1">ROUND(C87/C27,3)</f>
        <v>7.2919999999999998</v>
      </c>
    </row>
    <row r="93" spans="1:18">
      <c r="B93" s="169" t="s">
        <v>786</v>
      </c>
      <c r="C93" s="137"/>
    </row>
    <row r="94" spans="1:18">
      <c r="B94" s="172" t="s">
        <v>787</v>
      </c>
      <c r="C94" s="3075">
        <f ca="1">1-C95</f>
        <v>-3.6109999999999998</v>
      </c>
    </row>
    <row r="95" spans="1:18">
      <c r="B95" s="172" t="s">
        <v>788</v>
      </c>
      <c r="C95" s="3074">
        <f ca="1">ROUND(C53/(C28+J31+L55),3)</f>
        <v>4.6109999999999998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6" t="s">
        <v>679</v>
      </c>
      <c r="C6" s="750">
        <f ca="1">ROUND(F6*F8*F7*(1-F9),0)</f>
        <v>0</v>
      </c>
      <c r="D6" s="60" t="s">
        <v>2011</v>
      </c>
      <c r="E6" s="190" t="s">
        <v>681</v>
      </c>
      <c r="F6" s="191">
        <f ca="1">INDIRECT("'数据-取费表'!u"&amp;$G$1)</f>
        <v>0</v>
      </c>
      <c r="G6" s="991"/>
      <c r="H6" s="745" t="s">
        <v>392</v>
      </c>
      <c r="I6" s="4926" t="s">
        <v>679</v>
      </c>
      <c r="J6" s="189">
        <f ca="1">ROUND(M6*M8*M7*(1-M9),0)</f>
        <v>0</v>
      </c>
      <c r="K6" s="983" t="s">
        <v>2012</v>
      </c>
      <c r="L6" s="190" t="s">
        <v>681</v>
      </c>
      <c r="M6" s="191">
        <f ca="1">INDIRECT("'数据-取费表'!z"&amp;$G$1)</f>
        <v>0</v>
      </c>
    </row>
    <row r="7" spans="1:37" ht="18" customHeight="1">
      <c r="A7" s="749"/>
      <c r="B7" s="4927"/>
      <c r="C7" s="751"/>
      <c r="D7" s="195"/>
      <c r="E7" s="752" t="s">
        <v>682</v>
      </c>
      <c r="F7" s="191">
        <f ca="1">IF(INDIRECT("'数据-取费表'!ah"&amp;$G$1)="",INDIRECT("'数据-取费表'!k"&amp;$G$1),INDIRECT("'数据-取费表'!ah"&amp;$G$1))</f>
        <v>0</v>
      </c>
      <c r="G7" s="991"/>
      <c r="H7" s="192"/>
      <c r="I7" s="4927"/>
      <c r="J7" s="194"/>
      <c r="K7" s="195"/>
      <c r="L7" s="190" t="s">
        <v>682</v>
      </c>
      <c r="M7" s="191">
        <f ca="1">F7</f>
        <v>0</v>
      </c>
    </row>
    <row r="8" spans="1:37" ht="18" customHeight="1">
      <c r="A8" s="192"/>
      <c r="B8" s="4927"/>
      <c r="C8" s="194"/>
      <c r="D8" s="195"/>
      <c r="E8" s="190" t="s">
        <v>683</v>
      </c>
      <c r="F8" s="191">
        <f ca="1">INDIRECT("'数据-取费表'!ai"&amp;$G$1)</f>
        <v>0</v>
      </c>
      <c r="G8" s="991"/>
      <c r="H8" s="192"/>
      <c r="I8" s="4927"/>
      <c r="J8" s="194"/>
      <c r="K8" s="195"/>
      <c r="L8" s="190" t="s">
        <v>683</v>
      </c>
      <c r="M8" s="191">
        <f ca="1">INDIRECT("'数据-取费表'!ai"&amp;$G$1)</f>
        <v>0</v>
      </c>
    </row>
    <row r="9" spans="1:37" ht="18" customHeight="1">
      <c r="A9" s="192"/>
      <c r="B9" s="4928"/>
      <c r="C9" s="194"/>
      <c r="D9" s="195"/>
      <c r="E9" s="190" t="s">
        <v>684</v>
      </c>
      <c r="F9" s="200">
        <f ca="1">INDIRECT("'数据-取费表'!w"&amp;$G$1)</f>
        <v>0</v>
      </c>
      <c r="G9" s="991"/>
      <c r="H9" s="192"/>
      <c r="I9" s="492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0.01</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2199</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918" t="s">
        <v>822</v>
      </c>
      <c r="L53" s="4919"/>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2" customHeight="1">
      <c r="A2" s="992" t="s">
        <v>2208</v>
      </c>
      <c r="B2" s="3705" t="e">
        <f>IF(D2="——",C40,C40+E2)</f>
        <v>#DIV/0!</v>
      </c>
      <c r="C2" s="2251" t="s">
        <v>2209</v>
      </c>
      <c r="D2" s="2710" t="s">
        <v>3243</v>
      </c>
      <c r="E2" s="2711"/>
      <c r="F2" s="2253"/>
      <c r="G2" s="2254"/>
      <c r="H2" s="2255"/>
      <c r="I2" s="2256"/>
      <c r="J2" s="4935" t="s">
        <v>2210</v>
      </c>
      <c r="K2" s="4936"/>
      <c r="L2" s="2257" t="s">
        <v>2211</v>
      </c>
      <c r="M2" s="2257" t="s">
        <v>2212</v>
      </c>
      <c r="N2" s="2257" t="s">
        <v>2213</v>
      </c>
      <c r="O2" s="2257" t="s">
        <v>2214</v>
      </c>
      <c r="P2" s="2257" t="s">
        <v>2215</v>
      </c>
      <c r="Q2" s="2258" t="s">
        <v>2216</v>
      </c>
      <c r="R2" s="2259" t="s">
        <v>2217</v>
      </c>
      <c r="S2" s="2249"/>
      <c r="T2" s="2249"/>
      <c r="U2" s="2249"/>
      <c r="V2" s="2256"/>
    </row>
    <row r="3" spans="1:22" s="2260" customFormat="1" ht="13.2" customHeight="1">
      <c r="A3" s="2261" t="s">
        <v>2218</v>
      </c>
      <c r="B3" s="3706" t="e">
        <f>ROUND(B2*10000/B4,0)</f>
        <v>#DIV/0!</v>
      </c>
      <c r="C3" s="2251" t="s">
        <v>2219</v>
      </c>
      <c r="D3" s="2251"/>
      <c r="E3" s="2252"/>
      <c r="F3" s="2253"/>
      <c r="G3" s="2254"/>
      <c r="H3" s="2255"/>
      <c r="I3" s="2256"/>
      <c r="J3" s="4937" t="s">
        <v>2220</v>
      </c>
      <c r="K3" s="4938"/>
      <c r="L3" s="2262"/>
      <c r="M3" s="2262"/>
      <c r="N3" s="2262"/>
      <c r="O3" s="2262"/>
      <c r="P3" s="2262"/>
      <c r="Q3" s="2263"/>
      <c r="R3" s="2264">
        <f>SUM(L3:Q3)</f>
        <v>0</v>
      </c>
      <c r="S3" s="2249"/>
      <c r="T3" s="2249"/>
      <c r="U3" s="2249"/>
      <c r="V3" s="2256"/>
    </row>
    <row r="4" spans="1:22" s="2260" customFormat="1" ht="13.2" customHeight="1">
      <c r="A4" s="2265" t="s">
        <v>2221</v>
      </c>
      <c r="B4" s="2298"/>
      <c r="C4" s="2251"/>
      <c r="D4" s="2251"/>
      <c r="E4" s="2252"/>
      <c r="F4" s="2253"/>
      <c r="G4" s="2254"/>
      <c r="H4" s="2255"/>
      <c r="I4" s="2256"/>
      <c r="J4" s="4937" t="s">
        <v>2222</v>
      </c>
      <c r="K4" s="4938"/>
      <c r="L4" s="2267"/>
      <c r="M4" s="2267"/>
      <c r="N4" s="2267"/>
      <c r="O4" s="2267"/>
      <c r="P4" s="2267"/>
      <c r="Q4" s="2268"/>
      <c r="R4" s="2269">
        <f>SUM(L4:Q4)</f>
        <v>0</v>
      </c>
      <c r="S4" s="2249"/>
      <c r="T4" s="2249"/>
      <c r="U4" s="2249"/>
      <c r="V4" s="2256"/>
    </row>
    <row r="5" spans="1:22" s="2260" customFormat="1" ht="13.2"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2" customHeight="1" thickBot="1">
      <c r="A6" s="4944" t="s">
        <v>3788</v>
      </c>
      <c r="B6" s="4945"/>
      <c r="C6" s="4946"/>
      <c r="D6" s="3708"/>
      <c r="E6" s="3854"/>
      <c r="F6" s="2276"/>
      <c r="G6" s="2277"/>
      <c r="H6" s="2255"/>
      <c r="I6" s="2256"/>
      <c r="J6" s="4929">
        <v>1</v>
      </c>
      <c r="K6" s="4930"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2" customHeight="1">
      <c r="A7" s="2280" t="s">
        <v>2235</v>
      </c>
      <c r="B7" s="2281"/>
      <c r="C7" s="2282"/>
      <c r="D7" s="3709">
        <f>SUM(D9,D10,D11,D17,0)</f>
        <v>0</v>
      </c>
      <c r="E7" s="2283" t="e">
        <f>E9+E10+E11+E17</f>
        <v>#DIV/0!</v>
      </c>
      <c r="F7" s="2284"/>
      <c r="G7" s="2285"/>
      <c r="H7" s="2255"/>
      <c r="I7" s="2256"/>
      <c r="J7" s="4929"/>
      <c r="K7" s="4931"/>
      <c r="L7" s="2286" t="s">
        <v>2236</v>
      </c>
      <c r="M7" s="3977"/>
      <c r="N7" s="3976"/>
      <c r="O7" s="4609"/>
      <c r="P7" s="4609"/>
      <c r="Q7" s="3976">
        <v>365</v>
      </c>
      <c r="R7" s="3975">
        <f>ROUND(M7*N7*O7*P7*Q7/10000,0)</f>
        <v>0</v>
      </c>
      <c r="S7" s="2249"/>
      <c r="T7" s="2249" t="s">
        <v>2237</v>
      </c>
      <c r="U7" s="2249"/>
      <c r="V7" s="2256"/>
    </row>
    <row r="8" spans="1:22" s="2260" customFormat="1" ht="13.2" customHeight="1">
      <c r="A8" s="2290" t="s">
        <v>2238</v>
      </c>
      <c r="B8" s="4947" t="s">
        <v>2239</v>
      </c>
      <c r="C8" s="4948"/>
      <c r="D8" s="4429" t="s">
        <v>3950</v>
      </c>
      <c r="E8" s="2291" t="s">
        <v>2240</v>
      </c>
      <c r="F8" s="2292" t="s">
        <v>2241</v>
      </c>
      <c r="G8" s="2293"/>
      <c r="H8" s="2255"/>
      <c r="I8" s="2256"/>
      <c r="J8" s="4929"/>
      <c r="K8" s="4931"/>
      <c r="L8" s="2286" t="s">
        <v>2242</v>
      </c>
      <c r="M8" s="3977"/>
      <c r="N8" s="3976"/>
      <c r="O8" s="4609"/>
      <c r="P8" s="4609"/>
      <c r="Q8" s="3976">
        <v>365</v>
      </c>
      <c r="R8" s="3975">
        <f t="shared" ref="R8:R13" si="0">ROUND(M8*N8*O8*P8*Q8/10000,0)</f>
        <v>0</v>
      </c>
      <c r="S8" s="2249"/>
      <c r="T8" s="2249" t="s">
        <v>2243</v>
      </c>
      <c r="U8" s="2249"/>
      <c r="V8" s="2256"/>
    </row>
    <row r="9" spans="1:22" s="2260" customFormat="1" ht="13.2" customHeight="1">
      <c r="A9" s="2290">
        <v>1</v>
      </c>
      <c r="B9" s="4947" t="s">
        <v>2244</v>
      </c>
      <c r="C9" s="4948"/>
      <c r="D9" s="3710">
        <f>ROUND(D6*E9,0)</f>
        <v>0</v>
      </c>
      <c r="E9" s="3711"/>
      <c r="F9" s="2294" t="s">
        <v>2245</v>
      </c>
      <c r="G9" s="2277"/>
      <c r="H9" s="2255"/>
      <c r="I9" s="2256"/>
      <c r="J9" s="4929"/>
      <c r="K9" s="4931"/>
      <c r="L9" s="2286" t="s">
        <v>2246</v>
      </c>
      <c r="M9" s="3977"/>
      <c r="N9" s="3976"/>
      <c r="O9" s="4609"/>
      <c r="P9" s="4609"/>
      <c r="Q9" s="3976">
        <v>365</v>
      </c>
      <c r="R9" s="3975">
        <f t="shared" si="0"/>
        <v>0</v>
      </c>
      <c r="S9" s="2249"/>
      <c r="T9" s="2249"/>
      <c r="U9" s="2249"/>
      <c r="V9" s="2256"/>
    </row>
    <row r="10" spans="1:22" s="2260" customFormat="1" ht="13.2" customHeight="1">
      <c r="A10" s="2290">
        <v>2</v>
      </c>
      <c r="B10" s="4947" t="s">
        <v>2247</v>
      </c>
      <c r="C10" s="4948"/>
      <c r="D10" s="3710">
        <f>ROUND(D6*E10,0)</f>
        <v>0</v>
      </c>
      <c r="E10" s="3711"/>
      <c r="F10" s="3849" t="s">
        <v>3713</v>
      </c>
      <c r="G10" s="2277"/>
      <c r="H10" s="2255"/>
      <c r="I10" s="2256"/>
      <c r="J10" s="4929"/>
      <c r="K10" s="4931"/>
      <c r="L10" s="2286" t="s">
        <v>2248</v>
      </c>
      <c r="M10" s="3977"/>
      <c r="N10" s="3976"/>
      <c r="O10" s="4609"/>
      <c r="P10" s="4609"/>
      <c r="Q10" s="3976">
        <v>365</v>
      </c>
      <c r="R10" s="3975">
        <f t="shared" si="0"/>
        <v>0</v>
      </c>
      <c r="S10" s="2249"/>
      <c r="T10" s="2249"/>
      <c r="U10" s="2249"/>
      <c r="V10" s="2256"/>
    </row>
    <row r="11" spans="1:22" s="2260" customFormat="1" ht="13.2" customHeight="1">
      <c r="A11" s="2290">
        <v>3</v>
      </c>
      <c r="B11" s="4947" t="s">
        <v>2249</v>
      </c>
      <c r="C11" s="4948"/>
      <c r="D11" s="3710">
        <f>D12+D14+D15+D16</f>
        <v>0</v>
      </c>
      <c r="E11" s="3712" t="e">
        <f>D11/D6</f>
        <v>#DIV/0!</v>
      </c>
      <c r="F11" s="2292"/>
      <c r="G11" s="2293"/>
      <c r="H11" s="2255"/>
      <c r="I11" s="2256"/>
      <c r="J11" s="4929"/>
      <c r="K11" s="4931"/>
      <c r="L11" s="2286" t="s">
        <v>2250</v>
      </c>
      <c r="M11" s="3977"/>
      <c r="N11" s="3976"/>
      <c r="O11" s="4609"/>
      <c r="P11" s="4609"/>
      <c r="Q11" s="3976">
        <v>365</v>
      </c>
      <c r="R11" s="3975">
        <f t="shared" si="0"/>
        <v>0</v>
      </c>
      <c r="S11" s="2249"/>
      <c r="T11" s="2249"/>
      <c r="U11" s="2249"/>
      <c r="V11" s="2256"/>
    </row>
    <row r="12" spans="1:22" s="2260" customFormat="1" ht="13.2" customHeight="1">
      <c r="A12" s="2295" t="s">
        <v>2251</v>
      </c>
      <c r="B12" s="4941" t="s">
        <v>2252</v>
      </c>
      <c r="C12" s="4940"/>
      <c r="D12" s="3713">
        <f>ROUND(D13*1.2%*(1-30%),0)</f>
        <v>0</v>
      </c>
      <c r="E12" s="3714">
        <v>1.2E-2</v>
      </c>
      <c r="F12" s="2292" t="s">
        <v>2253</v>
      </c>
      <c r="G12" s="2293"/>
      <c r="H12" s="2255"/>
      <c r="I12" s="2256"/>
      <c r="J12" s="4929"/>
      <c r="K12" s="4931"/>
      <c r="L12" s="2286" t="s">
        <v>2254</v>
      </c>
      <c r="M12" s="3977"/>
      <c r="N12" s="3976"/>
      <c r="O12" s="4609"/>
      <c r="P12" s="4609"/>
      <c r="Q12" s="3976">
        <v>365</v>
      </c>
      <c r="R12" s="3975">
        <f t="shared" si="0"/>
        <v>0</v>
      </c>
      <c r="S12" s="2249"/>
      <c r="T12" s="2249"/>
      <c r="U12" s="2249"/>
      <c r="V12" s="2256"/>
    </row>
    <row r="13" spans="1:22" s="2260" customFormat="1" ht="13.2" customHeight="1">
      <c r="A13" s="2295"/>
      <c r="B13" s="2296"/>
      <c r="C13" s="2297" t="s">
        <v>2255</v>
      </c>
      <c r="D13" s="3715"/>
      <c r="E13" s="2299"/>
      <c r="F13" s="2292"/>
      <c r="G13" s="2293"/>
      <c r="H13" s="2255"/>
      <c r="I13" s="2256"/>
      <c r="J13" s="4929"/>
      <c r="K13" s="4931"/>
      <c r="L13" s="2286" t="s">
        <v>2256</v>
      </c>
      <c r="M13" s="3977"/>
      <c r="N13" s="3976"/>
      <c r="O13" s="4609"/>
      <c r="P13" s="4609"/>
      <c r="Q13" s="3976">
        <v>365</v>
      </c>
      <c r="R13" s="3975">
        <f t="shared" si="0"/>
        <v>0</v>
      </c>
      <c r="S13" s="2249"/>
      <c r="T13" s="2249"/>
      <c r="U13" s="2249"/>
      <c r="V13" s="2256"/>
    </row>
    <row r="14" spans="1:22" s="2260" customFormat="1" ht="13.2" customHeight="1">
      <c r="A14" s="2295" t="s">
        <v>2257</v>
      </c>
      <c r="B14" s="4941" t="s">
        <v>2258</v>
      </c>
      <c r="C14" s="4940"/>
      <c r="D14" s="3713">
        <f>ROUND(E14*B5/10000,0)</f>
        <v>0</v>
      </c>
      <c r="E14" s="3716"/>
      <c r="F14" s="2292" t="s">
        <v>2259</v>
      </c>
      <c r="G14" s="2293"/>
      <c r="H14" s="2255"/>
      <c r="I14" s="2256"/>
      <c r="J14" s="4929"/>
      <c r="K14" s="4932"/>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2261</v>
      </c>
      <c r="B15" s="4939" t="s">
        <v>3785</v>
      </c>
      <c r="C15" s="4940"/>
      <c r="D15" s="3713">
        <f>IF(F15="酒店",E48*(1+E15),IF(F15="购物中心",E67*(1+E15),IF(F15="按比例计算-酒店",E46,E65)))</f>
        <v>0</v>
      </c>
      <c r="E15" s="3714">
        <f>'数据-取费表'!B44</f>
        <v>0.12000000000000001</v>
      </c>
      <c r="F15" s="3852" t="s">
        <v>3844</v>
      </c>
      <c r="G15" s="3853"/>
      <c r="H15" s="2255"/>
      <c r="I15" s="2256"/>
      <c r="J15" s="4929">
        <v>2</v>
      </c>
      <c r="K15" s="4930"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2" customHeight="1">
      <c r="A16" s="2295" t="s">
        <v>2268</v>
      </c>
      <c r="B16" s="4941" t="s">
        <v>2269</v>
      </c>
      <c r="C16" s="4940"/>
      <c r="D16" s="3717">
        <f>D6*E16</f>
        <v>0</v>
      </c>
      <c r="E16" s="3718"/>
      <c r="F16" s="2294" t="s">
        <v>2270</v>
      </c>
      <c r="G16" s="2277"/>
      <c r="H16" s="2255"/>
      <c r="I16" s="2256"/>
      <c r="J16" s="4929"/>
      <c r="K16" s="4931"/>
      <c r="L16" s="2286" t="s">
        <v>2271</v>
      </c>
      <c r="M16" s="3977"/>
      <c r="N16" s="3977"/>
      <c r="O16" s="4611"/>
      <c r="P16" s="3976">
        <v>365</v>
      </c>
      <c r="Q16" s="3976"/>
      <c r="R16" s="3975">
        <f>ROUND(M16*N16*O16*P16/10000,0)</f>
        <v>0</v>
      </c>
      <c r="S16" s="2249"/>
      <c r="T16" s="2249"/>
      <c r="U16" s="2249"/>
      <c r="V16" s="2256"/>
    </row>
    <row r="17" spans="1:22" s="2260" customFormat="1" ht="13.2" customHeight="1" thickBot="1">
      <c r="A17" s="2305">
        <v>4</v>
      </c>
      <c r="B17" s="4942" t="s">
        <v>2272</v>
      </c>
      <c r="C17" s="4943"/>
      <c r="D17" s="3719">
        <f>ROUND(D6*E17,0)</f>
        <v>0</v>
      </c>
      <c r="E17" s="3720"/>
      <c r="F17" s="3850" t="s">
        <v>3714</v>
      </c>
      <c r="G17" s="2277"/>
      <c r="H17" s="2255"/>
      <c r="I17" s="2256"/>
      <c r="J17" s="4929"/>
      <c r="K17" s="4931"/>
      <c r="L17" s="2286" t="s">
        <v>2273</v>
      </c>
      <c r="M17" s="3977"/>
      <c r="N17" s="3977"/>
      <c r="O17" s="4611"/>
      <c r="P17" s="3976">
        <v>365</v>
      </c>
      <c r="Q17" s="3976"/>
      <c r="R17" s="3975">
        <f>ROUND(M17*N17*O17*P17/10000,0)</f>
        <v>0</v>
      </c>
      <c r="S17" s="2249"/>
      <c r="T17" s="2249"/>
      <c r="U17" s="2249"/>
      <c r="V17" s="2256"/>
    </row>
    <row r="18" spans="1:22" s="2260" customFormat="1" ht="13.2" customHeight="1" thickBot="1">
      <c r="A18" s="2280" t="s">
        <v>2274</v>
      </c>
      <c r="B18" s="2281"/>
      <c r="C18" s="2281"/>
      <c r="D18" s="3721">
        <f>ROUND(D6*E18,0)</f>
        <v>0</v>
      </c>
      <c r="E18" s="3722"/>
      <c r="F18" s="2306" t="s">
        <v>2275</v>
      </c>
      <c r="G18" s="2277"/>
      <c r="H18" s="2255"/>
      <c r="I18" s="2256"/>
      <c r="J18" s="4929"/>
      <c r="K18" s="4931"/>
      <c r="L18" s="2286" t="s">
        <v>2276</v>
      </c>
      <c r="M18" s="3977"/>
      <c r="N18" s="3977"/>
      <c r="O18" s="4611"/>
      <c r="P18" s="3976">
        <v>365</v>
      </c>
      <c r="Q18" s="3976"/>
      <c r="R18" s="3975">
        <f>ROUND(M18*N18*O18*P18/10000,0)</f>
        <v>0</v>
      </c>
      <c r="S18" s="2249"/>
      <c r="T18" s="2249"/>
      <c r="U18" s="2249"/>
      <c r="V18" s="2256"/>
    </row>
    <row r="19" spans="1:22" s="2260" customFormat="1" ht="13.2" customHeight="1" thickBot="1">
      <c r="A19" s="2307" t="s">
        <v>2277</v>
      </c>
      <c r="B19" s="2275"/>
      <c r="C19" s="2275"/>
      <c r="D19" s="2275"/>
      <c r="E19" s="2275"/>
      <c r="F19" s="2276"/>
      <c r="G19" s="2293"/>
      <c r="H19" s="2255"/>
      <c r="I19" s="2256"/>
      <c r="J19" s="4929"/>
      <c r="K19" s="4932"/>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29">
        <v>3</v>
      </c>
      <c r="K20" s="4930"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2" customHeight="1">
      <c r="A21" s="2280"/>
      <c r="B21" s="2281"/>
      <c r="C21" s="2312" t="s">
        <v>2286</v>
      </c>
      <c r="D21" s="2313" t="s">
        <v>2287</v>
      </c>
      <c r="E21" s="2314" t="s">
        <v>2288</v>
      </c>
      <c r="F21" s="2309"/>
      <c r="G21" s="2293"/>
      <c r="H21" s="2255"/>
      <c r="I21" s="2256"/>
      <c r="J21" s="4929"/>
      <c r="K21" s="4931"/>
      <c r="L21" s="2286" t="s">
        <v>2289</v>
      </c>
      <c r="M21" s="3977"/>
      <c r="N21" s="3977"/>
      <c r="O21" s="4610"/>
      <c r="P21" s="3976">
        <v>365</v>
      </c>
      <c r="Q21" s="3976"/>
      <c r="R21" s="3978">
        <f>ROUND(M21*N21*O21*P21/10000,0)</f>
        <v>0</v>
      </c>
      <c r="S21" s="2311"/>
      <c r="T21" s="2311"/>
      <c r="U21" s="2311"/>
      <c r="V21" s="2256"/>
    </row>
    <row r="22" spans="1:22" s="2260" customFormat="1" ht="13.2" customHeight="1">
      <c r="A22" s="2280"/>
      <c r="B22" s="2281"/>
      <c r="C22" s="2315" t="s">
        <v>2290</v>
      </c>
      <c r="D22" s="2316" t="s">
        <v>2291</v>
      </c>
      <c r="E22" s="2317" t="s">
        <v>2292</v>
      </c>
      <c r="F22" s="2309"/>
      <c r="G22" s="2318"/>
      <c r="H22" s="2255"/>
      <c r="I22" s="2256"/>
      <c r="J22" s="4929"/>
      <c r="K22" s="4931"/>
      <c r="L22" s="2286" t="s">
        <v>2293</v>
      </c>
      <c r="M22" s="3977"/>
      <c r="N22" s="3977"/>
      <c r="O22" s="4610"/>
      <c r="P22" s="3976">
        <v>365</v>
      </c>
      <c r="Q22" s="3976"/>
      <c r="R22" s="3978">
        <f>ROUND(M22*N22*O22*P22/10000,0)</f>
        <v>0</v>
      </c>
      <c r="S22" s="2311"/>
      <c r="T22" s="2311"/>
      <c r="U22" s="2311"/>
      <c r="V22" s="2256"/>
    </row>
    <row r="23" spans="1:22" s="2260" customFormat="1" ht="13.2" customHeight="1">
      <c r="A23" s="2319">
        <v>1</v>
      </c>
      <c r="B23" s="2320" t="s">
        <v>2294</v>
      </c>
      <c r="C23" s="2325">
        <f>D6</f>
        <v>0</v>
      </c>
      <c r="D23" s="3737">
        <f>C23*(1+D24)</f>
        <v>0</v>
      </c>
      <c r="E23" s="3738">
        <f>D23*(1+E24)</f>
        <v>0</v>
      </c>
      <c r="F23" s="2321"/>
      <c r="G23" s="2322"/>
      <c r="H23" s="2255"/>
      <c r="I23" s="2256"/>
      <c r="J23" s="4929"/>
      <c r="K23" s="4931"/>
      <c r="L23" s="2286" t="s">
        <v>2295</v>
      </c>
      <c r="M23" s="3977"/>
      <c r="N23" s="3977"/>
      <c r="O23" s="4610"/>
      <c r="P23" s="3976">
        <v>365</v>
      </c>
      <c r="Q23" s="3976"/>
      <c r="R23" s="3978">
        <f>ROUND(M23*N23*O23*P23/10000,0)</f>
        <v>0</v>
      </c>
      <c r="S23" s="2249"/>
      <c r="T23" s="2249"/>
      <c r="U23" s="2249"/>
      <c r="V23" s="2256"/>
    </row>
    <row r="24" spans="1:22" s="2260" customFormat="1" ht="13.2" customHeight="1">
      <c r="A24" s="2323"/>
      <c r="B24" s="2324" t="s">
        <v>2296</v>
      </c>
      <c r="C24" s="2325"/>
      <c r="D24" s="2326"/>
      <c r="E24" s="2327"/>
      <c r="F24" s="2328"/>
      <c r="G24" s="2322"/>
      <c r="H24" s="2255"/>
      <c r="I24" s="2256"/>
      <c r="J24" s="4929"/>
      <c r="K24" s="4932"/>
      <c r="L24" s="2300" t="s">
        <v>2260</v>
      </c>
      <c r="M24" s="2301">
        <f>SUM(M21:M23)</f>
        <v>0</v>
      </c>
      <c r="N24" s="2301"/>
      <c r="O24" s="2302"/>
      <c r="P24" s="2308" t="s">
        <v>2321</v>
      </c>
      <c r="Q24" s="2288">
        <v>0</v>
      </c>
      <c r="R24" s="3979">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2297</v>
      </c>
      <c r="L25" s="2331"/>
      <c r="M25" s="2331"/>
      <c r="N25" s="2331"/>
      <c r="O25" s="2331"/>
      <c r="P25" s="2332"/>
      <c r="Q25" s="2333">
        <v>0</v>
      </c>
      <c r="R25" s="3979">
        <f>ROUND(R14*Q25,0)</f>
        <v>0</v>
      </c>
      <c r="S25" s="2249"/>
      <c r="T25" s="2249"/>
      <c r="U25" s="2249"/>
      <c r="V25" s="2334"/>
    </row>
    <row r="26" spans="1:22" s="2335" customFormat="1" ht="13.2" customHeight="1">
      <c r="A26" s="2319">
        <v>2</v>
      </c>
      <c r="B26" s="2320" t="s">
        <v>2298</v>
      </c>
      <c r="C26" s="2325">
        <f>D7</f>
        <v>0</v>
      </c>
      <c r="D26" s="3723">
        <f>D23*D27</f>
        <v>0</v>
      </c>
      <c r="E26" s="3724">
        <f>E23*E27</f>
        <v>0</v>
      </c>
      <c r="F26" s="2321"/>
      <c r="G26" s="2322"/>
      <c r="H26" s="2255"/>
      <c r="I26" s="2256"/>
      <c r="J26" s="4933">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2" customHeight="1">
      <c r="A27" s="2323"/>
      <c r="B27" s="2324" t="s">
        <v>2304</v>
      </c>
      <c r="C27" s="2342" t="e">
        <f>E7</f>
        <v>#DIV/0!</v>
      </c>
      <c r="D27" s="2326"/>
      <c r="E27" s="2327"/>
      <c r="F27" s="2328"/>
      <c r="G27" s="2322"/>
      <c r="H27" s="2343"/>
      <c r="I27" s="2334"/>
      <c r="J27" s="4934"/>
      <c r="K27" s="2344"/>
      <c r="L27" s="2345"/>
      <c r="M27" s="2346"/>
      <c r="N27" s="3742"/>
      <c r="O27" s="3742"/>
      <c r="P27" s="3742"/>
      <c r="Q27" s="4612"/>
      <c r="R27" s="3979">
        <f>ROUND(O27*N27*P27*(1-Q27)/10000,0)</f>
        <v>0</v>
      </c>
      <c r="S27" s="2249"/>
      <c r="T27" s="2249"/>
      <c r="U27" s="2249"/>
      <c r="V27" s="2256"/>
    </row>
    <row r="28" spans="1:22" s="2335" customFormat="1" ht="13.2"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2"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2" customHeight="1">
      <c r="A32" s="2319">
        <v>4</v>
      </c>
      <c r="B32" s="2320" t="s">
        <v>2312</v>
      </c>
      <c r="C32" s="2325">
        <f>C23-C26-C29</f>
        <v>0</v>
      </c>
      <c r="D32" s="3723">
        <f>D23-D26-D29</f>
        <v>0</v>
      </c>
      <c r="E32" s="3724">
        <f>E23-E26-E29</f>
        <v>0</v>
      </c>
      <c r="F32" s="2321"/>
      <c r="G32" s="2318"/>
      <c r="H32" s="2255"/>
      <c r="I32" s="2256"/>
      <c r="J32" s="4935" t="s">
        <v>2210</v>
      </c>
      <c r="K32" s="4936"/>
      <c r="L32" s="2257" t="s">
        <v>2211</v>
      </c>
      <c r="M32" s="2257" t="s">
        <v>2212</v>
      </c>
      <c r="N32" s="2257" t="s">
        <v>2213</v>
      </c>
      <c r="O32" s="2257" t="s">
        <v>2214</v>
      </c>
      <c r="P32" s="2257" t="s">
        <v>2215</v>
      </c>
      <c r="Q32" s="2258" t="s">
        <v>2216</v>
      </c>
      <c r="R32" s="2355" t="s">
        <v>2217</v>
      </c>
      <c r="S32" s="2311"/>
      <c r="T32" s="2249"/>
      <c r="U32" s="2249"/>
      <c r="V32" s="2334"/>
    </row>
    <row r="33" spans="1:23" s="2260" customFormat="1" ht="13.2" customHeight="1">
      <c r="A33" s="2319"/>
      <c r="B33" s="2320"/>
      <c r="C33" s="2325"/>
      <c r="D33" s="3725"/>
      <c r="E33" s="3726"/>
      <c r="F33" s="2321"/>
      <c r="G33" s="2318"/>
      <c r="H33" s="2343"/>
      <c r="I33" s="2334"/>
      <c r="J33" s="4937" t="s">
        <v>2220</v>
      </c>
      <c r="K33" s="4938"/>
      <c r="L33" s="3745"/>
      <c r="M33" s="3745"/>
      <c r="N33" s="3745"/>
      <c r="O33" s="3745"/>
      <c r="P33" s="3745"/>
      <c r="Q33" s="3746"/>
      <c r="R33" s="3747">
        <f>SUM(L33:Q33)</f>
        <v>0</v>
      </c>
      <c r="S33" s="2311"/>
      <c r="T33" s="2249"/>
      <c r="U33" s="2249"/>
      <c r="V33" s="2256"/>
    </row>
    <row r="34" spans="1:23" s="2260" customFormat="1" ht="13.2" customHeight="1">
      <c r="A34" s="2319">
        <v>5</v>
      </c>
      <c r="B34" s="2320" t="s">
        <v>2313</v>
      </c>
      <c r="C34" s="3727"/>
      <c r="D34" s="3728"/>
      <c r="E34" s="3729"/>
      <c r="F34" s="2321"/>
      <c r="G34" s="2318"/>
      <c r="H34" s="2343"/>
      <c r="I34" s="2334"/>
      <c r="J34" s="4937" t="s">
        <v>2222</v>
      </c>
      <c r="K34" s="4938"/>
      <c r="L34" s="3748"/>
      <c r="M34" s="3748"/>
      <c r="N34" s="3748"/>
      <c r="O34" s="3748"/>
      <c r="P34" s="3748"/>
      <c r="Q34" s="3749"/>
      <c r="R34" s="3750">
        <f>SUM(L34:Q34)</f>
        <v>0</v>
      </c>
      <c r="S34" s="2311"/>
      <c r="T34" s="2249"/>
      <c r="U34" s="2249" t="e">
        <f>ROUND(R35*10000/365/R33,1)</f>
        <v>#DIV/0!</v>
      </c>
      <c r="V34" s="2256"/>
    </row>
    <row r="35" spans="1:23" s="2260" customFormat="1" ht="13.2"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2" customHeight="1" thickBot="1">
      <c r="A36" s="2319">
        <v>7</v>
      </c>
      <c r="B36" s="2358" t="s">
        <v>2315</v>
      </c>
      <c r="C36" s="3730"/>
      <c r="D36" s="3731"/>
      <c r="E36" s="3732"/>
      <c r="F36" s="2359">
        <f>C36+D36+E36</f>
        <v>0</v>
      </c>
      <c r="G36" s="2318"/>
      <c r="H36" s="2255"/>
      <c r="I36" s="2256"/>
      <c r="J36" s="4929">
        <v>1</v>
      </c>
      <c r="K36" s="4930" t="s">
        <v>2316</v>
      </c>
      <c r="L36" s="2278"/>
      <c r="M36" s="2279"/>
      <c r="N36" s="2279"/>
      <c r="O36" s="2279"/>
      <c r="P36" s="2279"/>
      <c r="Q36" s="2279"/>
      <c r="R36" s="2264" t="s">
        <v>2233</v>
      </c>
      <c r="S36" s="2311"/>
      <c r="T36" s="2249" t="s">
        <v>2234</v>
      </c>
      <c r="U36" s="2249"/>
      <c r="V36" s="2256"/>
    </row>
    <row r="37" spans="1:23" s="2260" customFormat="1" ht="13.2" customHeight="1">
      <c r="A37" s="2319"/>
      <c r="B37" s="2320"/>
      <c r="C37" s="2324"/>
      <c r="D37" s="2324"/>
      <c r="E37" s="2324"/>
      <c r="F37" s="2321"/>
      <c r="G37" s="2318"/>
      <c r="H37" s="2255"/>
      <c r="I37" s="2256"/>
      <c r="J37" s="4929"/>
      <c r="K37" s="4931"/>
      <c r="L37" s="3751"/>
      <c r="M37" s="3739"/>
      <c r="N37" s="2298"/>
      <c r="O37" s="2298"/>
      <c r="P37" s="2298"/>
      <c r="Q37" s="2298"/>
      <c r="R37" s="3740"/>
      <c r="S37" s="2311"/>
      <c r="T37" s="2249" t="s">
        <v>2237</v>
      </c>
      <c r="U37" s="2249"/>
      <c r="V37" s="2256"/>
    </row>
    <row r="38" spans="1:23" s="2260" customFormat="1" ht="13.2" customHeight="1">
      <c r="A38" s="2319">
        <v>8</v>
      </c>
      <c r="B38" s="2320"/>
      <c r="C38" s="3710" t="e">
        <f>ROUND(C32*(1-((1+C35)/(1+C34))^C36)/(C34-C35),0)</f>
        <v>#DIV/0!</v>
      </c>
      <c r="D38" s="3710">
        <f>IF(D23=0,0,ROUND(D32*(1-((1+D35)/(1+D34))^D36)/(D34-D35),0))</f>
        <v>0</v>
      </c>
      <c r="E38" s="3710">
        <f>IF(E23=0,0,ROUND(E32*(1-((1+E35)/(1+E34))^E36)/(E34-E35),0))</f>
        <v>0</v>
      </c>
      <c r="F38" s="2321"/>
      <c r="G38" s="2318"/>
      <c r="H38" s="2255"/>
      <c r="I38" s="2256"/>
      <c r="J38" s="4929"/>
      <c r="K38" s="4931"/>
      <c r="L38" s="3751"/>
      <c r="M38" s="3739"/>
      <c r="N38" s="2298"/>
      <c r="O38" s="2298"/>
      <c r="P38" s="2298"/>
      <c r="Q38" s="2298"/>
      <c r="R38" s="3740"/>
      <c r="S38" s="2311"/>
      <c r="T38" s="2249" t="s">
        <v>2243</v>
      </c>
      <c r="U38" s="2249"/>
      <c r="V38" s="2256"/>
    </row>
    <row r="39" spans="1:23" s="2260" customFormat="1" ht="13.2" customHeight="1">
      <c r="A39" s="2319">
        <v>9</v>
      </c>
      <c r="B39" s="2320" t="s">
        <v>2317</v>
      </c>
      <c r="C39" s="3713" t="e">
        <f>C38</f>
        <v>#DIV/0!</v>
      </c>
      <c r="D39" s="3713">
        <f>IF(D23=0,0,D38/(1+D34)^C36)</f>
        <v>0</v>
      </c>
      <c r="E39" s="3713">
        <f>IF(E23=0,0,E38/(1+E34)^(C36+D36))</f>
        <v>0</v>
      </c>
      <c r="F39" s="2321"/>
      <c r="G39" s="2360"/>
      <c r="H39" s="2255"/>
      <c r="I39" s="2256"/>
      <c r="J39" s="4929"/>
      <c r="K39" s="4931"/>
      <c r="L39" s="3751"/>
      <c r="M39" s="3739"/>
      <c r="N39" s="2298"/>
      <c r="O39" s="2298"/>
      <c r="P39" s="2298"/>
      <c r="Q39" s="2298"/>
      <c r="R39" s="3740"/>
      <c r="S39" s="2311"/>
      <c r="T39" s="2249"/>
      <c r="U39" s="2249"/>
      <c r="V39" s="2256"/>
    </row>
    <row r="40" spans="1:23" s="2260" customFormat="1" ht="13.2" customHeight="1">
      <c r="A40" s="2361">
        <v>10</v>
      </c>
      <c r="B40" s="2320" t="s">
        <v>2318</v>
      </c>
      <c r="C40" s="3733" t="e">
        <f>C39+D39+E39</f>
        <v>#DIV/0!</v>
      </c>
      <c r="D40" s="3734"/>
      <c r="E40" s="3734"/>
      <c r="F40" s="2362"/>
      <c r="G40" s="2318"/>
      <c r="H40" s="2255"/>
      <c r="I40" s="2256"/>
      <c r="J40" s="4929"/>
      <c r="K40" s="4932"/>
      <c r="L40" s="2300" t="s">
        <v>2260</v>
      </c>
      <c r="M40" s="2301"/>
      <c r="N40" s="2301"/>
      <c r="O40" s="2302"/>
      <c r="P40" s="2302"/>
      <c r="Q40" s="3752"/>
      <c r="R40" s="3980">
        <f>SUM(R37:R39)</f>
        <v>0</v>
      </c>
      <c r="S40" s="2311"/>
      <c r="T40" s="2249"/>
      <c r="U40" s="2249"/>
      <c r="V40" s="2256"/>
    </row>
    <row r="41" spans="1:23" s="2260" customFormat="1" ht="13.2"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79">
        <f>ROUND(R40*Q41,0)</f>
        <v>0</v>
      </c>
      <c r="S41" s="2311"/>
      <c r="T41" s="2249"/>
      <c r="U41" s="2341"/>
      <c r="V41" s="2256"/>
    </row>
    <row r="42" spans="1:23" s="2260" customFormat="1" ht="13.2" customHeight="1">
      <c r="G42" s="2366"/>
      <c r="H42" s="2255"/>
      <c r="I42" s="2256"/>
      <c r="J42" s="4933">
        <v>3</v>
      </c>
      <c r="K42" s="2336" t="s">
        <v>2299</v>
      </c>
      <c r="L42" s="2337"/>
      <c r="M42" s="2338"/>
      <c r="N42" s="2339" t="s">
        <v>2300</v>
      </c>
      <c r="O42" s="2339" t="s">
        <v>2301</v>
      </c>
      <c r="P42" s="2340" t="s">
        <v>2302</v>
      </c>
      <c r="Q42" s="2340" t="s">
        <v>2303</v>
      </c>
      <c r="R42" s="2264" t="s">
        <v>2233</v>
      </c>
      <c r="S42" s="2341"/>
      <c r="T42" s="2341"/>
      <c r="U42" s="2249"/>
      <c r="V42" s="2256"/>
    </row>
    <row r="43" spans="1:23" ht="13.2" customHeight="1">
      <c r="A43" s="2260"/>
      <c r="B43" s="2260"/>
      <c r="C43" s="2260"/>
      <c r="D43" s="2260"/>
      <c r="E43" s="2260"/>
      <c r="F43" s="2260"/>
      <c r="G43" s="2366"/>
      <c r="H43" s="2255"/>
      <c r="I43" s="2244"/>
      <c r="J43" s="4934"/>
      <c r="K43" s="2344"/>
      <c r="L43" s="2345"/>
      <c r="M43" s="2346"/>
      <c r="N43" s="3739"/>
      <c r="O43" s="3739"/>
      <c r="P43" s="3739"/>
      <c r="Q43" s="3739"/>
      <c r="R43" s="3979">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2" customHeight="1" thickBot="1">
      <c r="A45" s="2260"/>
      <c r="B45" s="2260"/>
      <c r="C45" s="2260"/>
      <c r="D45" s="2260"/>
      <c r="E45" s="2260"/>
      <c r="F45" s="2260"/>
      <c r="G45" s="2366"/>
      <c r="H45" s="2255"/>
    </row>
    <row r="46" spans="1:23" ht="14.4">
      <c r="A46" s="3855"/>
      <c r="B46" s="3855"/>
      <c r="C46" s="3867" t="s">
        <v>3715</v>
      </c>
      <c r="D46" s="3868" t="s">
        <v>3786</v>
      </c>
      <c r="E46" s="4317">
        <f>ROUND(D6*G46,0)</f>
        <v>0</v>
      </c>
      <c r="F46" s="3879" t="s">
        <v>3775</v>
      </c>
      <c r="G46" s="4318">
        <v>0.05</v>
      </c>
      <c r="H46" s="3855"/>
      <c r="I46" s="3856"/>
    </row>
    <row r="47" spans="1:23" ht="13.2" customHeight="1">
      <c r="A47" s="3855"/>
      <c r="B47" s="3855"/>
      <c r="C47" s="3869" t="s">
        <v>3716</v>
      </c>
      <c r="D47" s="3870" t="s">
        <v>3717</v>
      </c>
      <c r="E47" s="4430" t="s">
        <v>3951</v>
      </c>
      <c r="F47" s="3880" t="s">
        <v>3718</v>
      </c>
      <c r="G47" s="3881" t="s">
        <v>3719</v>
      </c>
      <c r="H47" s="3857"/>
      <c r="I47" s="3856"/>
    </row>
    <row r="48" spans="1:23" ht="13.2" customHeight="1">
      <c r="A48" s="3857"/>
      <c r="B48" s="3857"/>
      <c r="C48" s="3871">
        <v>1</v>
      </c>
      <c r="D48" s="3870" t="s">
        <v>3720</v>
      </c>
      <c r="E48" s="3891">
        <f>E49-E54</f>
        <v>0</v>
      </c>
      <c r="F48" s="3870"/>
      <c r="G48" s="3881"/>
      <c r="H48" s="3857"/>
      <c r="I48" s="3856"/>
    </row>
    <row r="49" spans="1:9" ht="13.2" customHeight="1">
      <c r="A49" s="3857"/>
      <c r="B49" s="3857"/>
      <c r="C49" s="3871">
        <v>2</v>
      </c>
      <c r="D49" s="3870" t="s">
        <v>3721</v>
      </c>
      <c r="E49" s="3891">
        <f>SUM(E50:E53)</f>
        <v>0</v>
      </c>
      <c r="F49" s="3870"/>
      <c r="G49" s="4312"/>
      <c r="H49" s="3857"/>
      <c r="I49" s="3856"/>
    </row>
    <row r="50" spans="1:9" ht="13.2" customHeight="1">
      <c r="A50" s="3857"/>
      <c r="B50" s="3857"/>
      <c r="C50" s="3872" t="s">
        <v>3737</v>
      </c>
      <c r="D50" s="3873" t="s">
        <v>3722</v>
      </c>
      <c r="E50" s="3892">
        <f>R14*G50/(1+G50)</f>
        <v>0</v>
      </c>
      <c r="F50" s="3882" t="s">
        <v>3738</v>
      </c>
      <c r="G50" s="4313">
        <v>0.06</v>
      </c>
      <c r="H50" s="3857"/>
      <c r="I50" s="3856"/>
    </row>
    <row r="51" spans="1:9" ht="13.2" customHeight="1">
      <c r="A51" s="3857"/>
      <c r="B51" s="3857"/>
      <c r="C51" s="3872" t="s">
        <v>3739</v>
      </c>
      <c r="D51" s="3873" t="s">
        <v>3723</v>
      </c>
      <c r="E51" s="3892">
        <f>R19*G51/(1+G51)</f>
        <v>0</v>
      </c>
      <c r="F51" s="3882" t="s">
        <v>3740</v>
      </c>
      <c r="G51" s="4313">
        <v>0.06</v>
      </c>
      <c r="H51" s="3857"/>
      <c r="I51" s="3856"/>
    </row>
    <row r="52" spans="1:9" ht="13.2" customHeight="1">
      <c r="A52" s="3857"/>
      <c r="B52" s="3857"/>
      <c r="C52" s="3872" t="s">
        <v>3741</v>
      </c>
      <c r="D52" s="3873" t="s">
        <v>3724</v>
      </c>
      <c r="E52" s="3892">
        <f>R24*G52/(1+R24)</f>
        <v>0</v>
      </c>
      <c r="F52" s="3882" t="s">
        <v>3725</v>
      </c>
      <c r="G52" s="4313">
        <v>0.09</v>
      </c>
      <c r="H52" s="3857"/>
      <c r="I52" s="3856"/>
    </row>
    <row r="53" spans="1:9" ht="13.2" customHeight="1">
      <c r="A53" s="3857"/>
      <c r="B53" s="3857"/>
      <c r="C53" s="3872" t="s">
        <v>3742</v>
      </c>
      <c r="D53" s="3873" t="s">
        <v>3726</v>
      </c>
      <c r="E53" s="3892">
        <f>R27*G53/(1+G53)</f>
        <v>0</v>
      </c>
      <c r="F53" s="3882" t="s">
        <v>3725</v>
      </c>
      <c r="G53" s="4313">
        <v>0.09</v>
      </c>
      <c r="H53" s="3857"/>
      <c r="I53" s="3856"/>
    </row>
    <row r="54" spans="1:9" ht="13.2" customHeight="1">
      <c r="A54" s="3857" t="s">
        <v>3770</v>
      </c>
      <c r="B54" s="3856"/>
      <c r="C54" s="3871">
        <v>3</v>
      </c>
      <c r="D54" s="3870" t="s">
        <v>3727</v>
      </c>
      <c r="E54" s="3891">
        <f>E55+E56+E60</f>
        <v>0</v>
      </c>
      <c r="F54" s="3870"/>
      <c r="G54" s="4312"/>
      <c r="H54" s="3857"/>
      <c r="I54" s="3856"/>
    </row>
    <row r="55" spans="1:9" ht="13.2" customHeight="1">
      <c r="A55" s="3858">
        <v>0.05</v>
      </c>
      <c r="B55" s="3859" t="s">
        <v>3774</v>
      </c>
      <c r="C55" s="3872" t="s">
        <v>3737</v>
      </c>
      <c r="D55" s="3873" t="s">
        <v>3728</v>
      </c>
      <c r="E55" s="3892">
        <f>D9*G55/(1+G55)</f>
        <v>0</v>
      </c>
      <c r="F55" s="3884" t="s">
        <v>3776</v>
      </c>
      <c r="G55" s="4313">
        <v>0.13</v>
      </c>
      <c r="H55" s="3857"/>
      <c r="I55" s="3856"/>
    </row>
    <row r="56" spans="1:9" ht="13.2" customHeight="1">
      <c r="A56" s="3858">
        <f>SUM(A57:A59)</f>
        <v>0.39</v>
      </c>
      <c r="B56" s="3859"/>
      <c r="C56" s="3872" t="s">
        <v>3739</v>
      </c>
      <c r="D56" s="3873" t="s">
        <v>3729</v>
      </c>
      <c r="E56" s="3892">
        <f>SUM(E57:E59)</f>
        <v>0</v>
      </c>
      <c r="F56" s="3882"/>
      <c r="G56" s="3885"/>
      <c r="H56" s="3857" t="s">
        <v>3783</v>
      </c>
      <c r="I56" s="3857" t="s">
        <v>3784</v>
      </c>
    </row>
    <row r="57" spans="1:9" ht="13.2" customHeight="1">
      <c r="A57" s="3858">
        <v>0.25</v>
      </c>
      <c r="B57" s="3859" t="s">
        <v>3771</v>
      </c>
      <c r="C57" s="3874" t="s">
        <v>3730</v>
      </c>
      <c r="D57" s="3875" t="s">
        <v>3731</v>
      </c>
      <c r="E57" s="3893">
        <v>0</v>
      </c>
      <c r="F57" s="3886"/>
      <c r="G57" s="3887" t="s">
        <v>3732</v>
      </c>
      <c r="H57" s="3851">
        <v>0.65</v>
      </c>
      <c r="I57" s="3860">
        <f>A57/SUM(A57:A59)</f>
        <v>0.64102564102564097</v>
      </c>
    </row>
    <row r="58" spans="1:9" ht="13.2" customHeight="1">
      <c r="A58" s="3858">
        <v>0.06</v>
      </c>
      <c r="B58" s="3859" t="s">
        <v>3772</v>
      </c>
      <c r="C58" s="3874" t="s">
        <v>3733</v>
      </c>
      <c r="D58" s="3876" t="s">
        <v>3778</v>
      </c>
      <c r="E58" s="3893">
        <f>D10*H58*G58/(1+G58)</f>
        <v>0</v>
      </c>
      <c r="F58" s="3886" t="s">
        <v>3743</v>
      </c>
      <c r="G58" s="4314">
        <v>0.09</v>
      </c>
      <c r="H58" s="3851">
        <v>0.15</v>
      </c>
      <c r="I58" s="3860">
        <f>A58/SUM(A57:A59)</f>
        <v>0.15384615384615383</v>
      </c>
    </row>
    <row r="59" spans="1:9" ht="13.2" customHeight="1">
      <c r="A59" s="3858">
        <v>0.08</v>
      </c>
      <c r="B59" s="3859" t="s">
        <v>3773</v>
      </c>
      <c r="C59" s="3874" t="s">
        <v>3734</v>
      </c>
      <c r="D59" s="3875" t="s">
        <v>3744</v>
      </c>
      <c r="E59" s="3893">
        <f>D10*H59*G59/(1+G59)</f>
        <v>0</v>
      </c>
      <c r="F59" s="3886" t="s">
        <v>3745</v>
      </c>
      <c r="G59" s="4314">
        <v>0.06</v>
      </c>
      <c r="H59" s="3851">
        <v>0.2</v>
      </c>
      <c r="I59" s="3860">
        <f>1-I57-I58</f>
        <v>0.2051282051282052</v>
      </c>
    </row>
    <row r="60" spans="1:9" ht="13.2" customHeight="1">
      <c r="A60" s="3858">
        <f>SUM(A61:A62)</f>
        <v>0.1</v>
      </c>
      <c r="B60" s="3859"/>
      <c r="C60" s="3872" t="s">
        <v>3741</v>
      </c>
      <c r="D60" s="3873" t="s">
        <v>3746</v>
      </c>
      <c r="E60" s="3892">
        <f>SUM(E61:E62)</f>
        <v>0</v>
      </c>
      <c r="F60" s="3882"/>
      <c r="G60" s="4315"/>
      <c r="I60" s="3856"/>
    </row>
    <row r="61" spans="1:9" ht="13.2" customHeight="1">
      <c r="A61" s="3858">
        <v>0.05</v>
      </c>
      <c r="B61" s="3859" t="s">
        <v>3774</v>
      </c>
      <c r="C61" s="3874" t="s">
        <v>3747</v>
      </c>
      <c r="D61" s="3875" t="s">
        <v>3748</v>
      </c>
      <c r="E61" s="3893">
        <f>D17*H61*G61/(1+G61)</f>
        <v>0</v>
      </c>
      <c r="F61" s="3886" t="s">
        <v>3745</v>
      </c>
      <c r="G61" s="4314">
        <v>0.06</v>
      </c>
      <c r="H61" s="3851">
        <v>0.5</v>
      </c>
      <c r="I61" s="3856"/>
    </row>
    <row r="62" spans="1:9" ht="13.2" customHeight="1" thickBot="1">
      <c r="A62" s="3858">
        <v>0.05</v>
      </c>
      <c r="B62" s="3859" t="s">
        <v>3775</v>
      </c>
      <c r="C62" s="3877" t="s">
        <v>3733</v>
      </c>
      <c r="D62" s="3878" t="s">
        <v>3749</v>
      </c>
      <c r="E62" s="3894">
        <f>D17*H62*G62/(1+G62)</f>
        <v>0</v>
      </c>
      <c r="F62" s="3889" t="s">
        <v>3750</v>
      </c>
      <c r="G62" s="4316">
        <v>0.09</v>
      </c>
      <c r="H62" s="3851">
        <v>0.5</v>
      </c>
      <c r="I62" s="3856"/>
    </row>
    <row r="63" spans="1:9" ht="13.2" customHeight="1">
      <c r="A63" s="3858">
        <f>A55+A56+A60</f>
        <v>0.54</v>
      </c>
      <c r="B63" s="3859"/>
      <c r="C63" s="3856"/>
      <c r="D63" s="3861"/>
      <c r="E63" s="3861"/>
      <c r="F63" s="3862"/>
      <c r="G63" s="3863"/>
      <c r="H63" s="3857"/>
      <c r="I63" s="3857"/>
    </row>
    <row r="64" spans="1:9" ht="13.2" customHeight="1" thickBot="1">
      <c r="A64" s="3857"/>
      <c r="B64" s="3857"/>
      <c r="C64" s="3856"/>
      <c r="D64" s="3856"/>
      <c r="E64" s="3856"/>
      <c r="F64" s="3856"/>
      <c r="G64" s="3864"/>
      <c r="H64" s="3857"/>
      <c r="I64" s="3856"/>
    </row>
    <row r="65" spans="1:9" ht="14.4">
      <c r="A65" s="3857"/>
      <c r="B65" s="3857"/>
      <c r="C65" s="3867" t="s">
        <v>3751</v>
      </c>
      <c r="D65" s="3868" t="s">
        <v>3786</v>
      </c>
      <c r="E65" s="4317">
        <f>ROUND(D6*G65,0)</f>
        <v>0</v>
      </c>
      <c r="F65" s="3879" t="s">
        <v>3787</v>
      </c>
      <c r="G65" s="4318">
        <v>0.03</v>
      </c>
      <c r="H65" s="3857"/>
      <c r="I65" s="3856"/>
    </row>
    <row r="66" spans="1:9">
      <c r="A66" s="3857"/>
      <c r="B66" s="3857"/>
      <c r="C66" s="3869" t="s">
        <v>3752</v>
      </c>
      <c r="D66" s="3870" t="s">
        <v>3753</v>
      </c>
      <c r="E66" s="4430" t="s">
        <v>3951</v>
      </c>
      <c r="F66" s="3880" t="s">
        <v>3754</v>
      </c>
      <c r="G66" s="3881" t="s">
        <v>3755</v>
      </c>
      <c r="H66" s="3857"/>
      <c r="I66" s="3856"/>
    </row>
    <row r="67" spans="1:9" ht="12">
      <c r="A67" s="3857"/>
      <c r="B67" s="3857"/>
      <c r="C67" s="3871">
        <v>1</v>
      </c>
      <c r="D67" s="3870" t="s">
        <v>3756</v>
      </c>
      <c r="E67" s="3895">
        <f>E68-E73</f>
        <v>0</v>
      </c>
      <c r="F67" s="3870"/>
      <c r="G67" s="3881"/>
      <c r="H67" s="3857"/>
      <c r="I67" s="3856"/>
    </row>
    <row r="68" spans="1:9" ht="13.2" customHeight="1">
      <c r="A68" s="3857"/>
      <c r="B68" s="3857"/>
      <c r="C68" s="3896">
        <v>2</v>
      </c>
      <c r="D68" s="3870" t="s">
        <v>3757</v>
      </c>
      <c r="E68" s="3895">
        <f>SUM(E69:E70)</f>
        <v>0</v>
      </c>
      <c r="F68" s="3870"/>
      <c r="G68" s="3881"/>
      <c r="H68" s="3857"/>
      <c r="I68" s="3856"/>
    </row>
    <row r="69" spans="1:9" ht="13.2" customHeight="1">
      <c r="A69" s="3857"/>
      <c r="B69" s="3857"/>
      <c r="C69" s="3872" t="s">
        <v>3758</v>
      </c>
      <c r="D69" s="3873" t="s">
        <v>3759</v>
      </c>
      <c r="E69" s="3873"/>
      <c r="F69" s="3882" t="s">
        <v>3760</v>
      </c>
      <c r="G69" s="3883">
        <v>0.09</v>
      </c>
      <c r="H69" s="3857"/>
      <c r="I69" s="3856"/>
    </row>
    <row r="70" spans="1:9" ht="13.2" customHeight="1">
      <c r="A70" s="3857"/>
      <c r="B70" s="3857"/>
      <c r="C70" s="3872" t="s">
        <v>3739</v>
      </c>
      <c r="D70" s="3873" t="s">
        <v>3761</v>
      </c>
      <c r="E70" s="3873"/>
      <c r="F70" s="3882" t="s">
        <v>3762</v>
      </c>
      <c r="G70" s="3883">
        <v>0.06</v>
      </c>
      <c r="H70" s="3857"/>
      <c r="I70" s="3856"/>
    </row>
    <row r="71" spans="1:9" ht="13.2" customHeight="1">
      <c r="A71" s="3857" t="s">
        <v>3777</v>
      </c>
      <c r="B71" s="3857"/>
      <c r="C71" s="3896">
        <v>3</v>
      </c>
      <c r="D71" s="3870" t="s">
        <v>3763</v>
      </c>
      <c r="E71" s="3895">
        <f>E72+E77</f>
        <v>0</v>
      </c>
      <c r="F71" s="3870"/>
      <c r="G71" s="3881"/>
      <c r="H71" s="3857"/>
      <c r="I71" s="3856"/>
    </row>
    <row r="72" spans="1:9" ht="13.2" customHeight="1">
      <c r="A72" s="3858">
        <v>0.05</v>
      </c>
      <c r="B72" s="3865"/>
      <c r="C72" s="3872" t="s">
        <v>3758</v>
      </c>
      <c r="D72" s="3873" t="s">
        <v>3764</v>
      </c>
      <c r="E72" s="3873">
        <f>D9*G72/(1+G72)</f>
        <v>0</v>
      </c>
      <c r="F72" s="3884" t="s">
        <v>3776</v>
      </c>
      <c r="G72" s="3883">
        <v>0.13</v>
      </c>
      <c r="H72" s="3857"/>
      <c r="I72" s="3856"/>
    </row>
    <row r="73" spans="1:9" ht="13.2" customHeight="1">
      <c r="A73" s="3858">
        <f>SUM(A74:A76)</f>
        <v>0.2</v>
      </c>
      <c r="B73" s="3865"/>
      <c r="C73" s="3872" t="s">
        <v>3739</v>
      </c>
      <c r="D73" s="3873" t="s">
        <v>3765</v>
      </c>
      <c r="E73" s="3873">
        <f>SUM(E74:E76)</f>
        <v>0</v>
      </c>
      <c r="F73" s="3882"/>
      <c r="G73" s="3885"/>
      <c r="H73" s="3857" t="s">
        <v>3783</v>
      </c>
      <c r="I73" s="3857" t="s">
        <v>3784</v>
      </c>
    </row>
    <row r="74" spans="1:9" ht="13.2" customHeight="1">
      <c r="A74" s="3858">
        <v>0.05</v>
      </c>
      <c r="B74" s="3865" t="s">
        <v>3781</v>
      </c>
      <c r="C74" s="3897" t="s">
        <v>3766</v>
      </c>
      <c r="D74" s="3875" t="s">
        <v>3767</v>
      </c>
      <c r="E74" s="3875">
        <v>0</v>
      </c>
      <c r="F74" s="3886"/>
      <c r="G74" s="3887" t="s">
        <v>3768</v>
      </c>
      <c r="H74" s="3851">
        <v>0.25</v>
      </c>
      <c r="I74" s="3860">
        <f>A74/SUM(A74:A76)</f>
        <v>0.25</v>
      </c>
    </row>
    <row r="75" spans="1:9" ht="13.2" customHeight="1">
      <c r="A75" s="3858">
        <v>0.1</v>
      </c>
      <c r="B75" s="3865" t="s">
        <v>3779</v>
      </c>
      <c r="C75" s="3897" t="s">
        <v>3735</v>
      </c>
      <c r="D75" s="3876" t="s">
        <v>3778</v>
      </c>
      <c r="E75" s="3875">
        <f>D10*H75*G75/(1+G75)</f>
        <v>0</v>
      </c>
      <c r="F75" s="3886" t="s">
        <v>3769</v>
      </c>
      <c r="G75" s="3888">
        <v>0.09</v>
      </c>
      <c r="H75" s="3851">
        <v>0.5</v>
      </c>
      <c r="I75" s="3860">
        <f>A75/SUM(A74:A76)</f>
        <v>0.5</v>
      </c>
    </row>
    <row r="76" spans="1:9" ht="13.2" customHeight="1">
      <c r="A76" s="3858">
        <v>0.05</v>
      </c>
      <c r="B76" s="3865" t="s">
        <v>3782</v>
      </c>
      <c r="C76" s="3897" t="s">
        <v>3736</v>
      </c>
      <c r="D76" s="3875" t="s">
        <v>3744</v>
      </c>
      <c r="E76" s="3875">
        <f>D10*H76*G76/(1+G76)</f>
        <v>0</v>
      </c>
      <c r="F76" s="3886" t="s">
        <v>3745</v>
      </c>
      <c r="G76" s="3888">
        <v>0.06</v>
      </c>
      <c r="H76" s="3851">
        <v>0.25</v>
      </c>
      <c r="I76" s="3860">
        <f>1-I74-I75</f>
        <v>0.25</v>
      </c>
    </row>
    <row r="77" spans="1:9" ht="13.2" customHeight="1">
      <c r="A77" s="3858">
        <f>SUM(A78:A79)</f>
        <v>0.1</v>
      </c>
      <c r="B77" s="3865"/>
      <c r="C77" s="3872" t="s">
        <v>3741</v>
      </c>
      <c r="D77" s="3873" t="s">
        <v>3746</v>
      </c>
      <c r="E77" s="3873">
        <f>SUM(E78:E79)</f>
        <v>0</v>
      </c>
      <c r="F77" s="3882"/>
      <c r="G77" s="3885"/>
      <c r="I77" s="3856"/>
    </row>
    <row r="78" spans="1:9" ht="13.2" customHeight="1">
      <c r="A78" s="3858">
        <v>0.05</v>
      </c>
      <c r="B78" s="3865" t="s">
        <v>3772</v>
      </c>
      <c r="C78" s="3897" t="s">
        <v>3766</v>
      </c>
      <c r="D78" s="3875" t="s">
        <v>3748</v>
      </c>
      <c r="E78" s="3875">
        <f>D17*H78*G78/(1+G78)</f>
        <v>0</v>
      </c>
      <c r="F78" s="3886" t="s">
        <v>3745</v>
      </c>
      <c r="G78" s="3888">
        <v>0.06</v>
      </c>
      <c r="H78" s="3851">
        <v>0.5</v>
      </c>
      <c r="I78" s="3856"/>
    </row>
    <row r="79" spans="1:9" ht="13.2" customHeight="1" thickBot="1">
      <c r="A79" s="3858">
        <v>0.05</v>
      </c>
      <c r="B79" s="3865" t="s">
        <v>3780</v>
      </c>
      <c r="C79" s="3898" t="s">
        <v>3735</v>
      </c>
      <c r="D79" s="3878" t="s">
        <v>3749</v>
      </c>
      <c r="E79" s="3878">
        <f>D17*H79*G79/(1+G79)</f>
        <v>0</v>
      </c>
      <c r="F79" s="3889" t="s">
        <v>3750</v>
      </c>
      <c r="G79" s="3890">
        <v>0.09</v>
      </c>
      <c r="H79" s="3851">
        <v>0.5</v>
      </c>
      <c r="I79" s="3856"/>
    </row>
    <row r="80" spans="1:9" ht="13.2" customHeight="1">
      <c r="A80" s="3858">
        <f>A72+A73+A77</f>
        <v>0.35</v>
      </c>
      <c r="B80" s="3865"/>
      <c r="C80" s="3857"/>
      <c r="D80" s="3857"/>
      <c r="E80" s="3857"/>
      <c r="F80" s="3857"/>
      <c r="G80" s="3866"/>
      <c r="H80" s="3857"/>
      <c r="I80" s="3856"/>
    </row>
    <row r="81" spans="1:9" ht="13.2" customHeight="1">
      <c r="A81" s="3857"/>
      <c r="B81" s="3857"/>
      <c r="C81" s="3857"/>
      <c r="D81" s="3857"/>
      <c r="E81" s="3857"/>
      <c r="F81" s="3857"/>
      <c r="G81" s="3866"/>
      <c r="H81" s="3857"/>
      <c r="I81" s="385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1565</v>
      </c>
      <c r="B1" s="1443"/>
      <c r="C1" s="1443"/>
      <c r="D1" s="1443"/>
      <c r="E1" s="1444"/>
      <c r="F1" s="2138"/>
      <c r="G1" s="1095"/>
      <c r="H1" s="1095"/>
      <c r="I1" s="1095"/>
      <c r="J1" s="1095"/>
      <c r="K1" s="1095"/>
      <c r="L1" s="1095"/>
      <c r="M1" s="1095"/>
      <c r="N1" s="1095"/>
      <c r="O1" s="1095"/>
      <c r="P1" s="1095"/>
      <c r="Q1" s="1095"/>
      <c r="R1" s="1095"/>
      <c r="S1" s="1095"/>
    </row>
    <row r="2" spans="1:22" ht="15.6">
      <c r="A2" s="1445" t="s">
        <v>1431</v>
      </c>
      <c r="B2" s="3982">
        <f ca="1">SUMIF(B6:B13,"&lt;&gt;#ref!",B6:B13)</f>
        <v>3.911</v>
      </c>
      <c r="C2" s="1446" t="s">
        <v>1558</v>
      </c>
      <c r="D2" s="1447" t="s">
        <v>1559</v>
      </c>
      <c r="E2" s="3120">
        <f>SUM(E6:E13)</f>
        <v>42.16</v>
      </c>
      <c r="F2" s="2138"/>
      <c r="G2" s="1095"/>
      <c r="H2" s="1095"/>
      <c r="I2" s="1095"/>
      <c r="J2" s="1095"/>
      <c r="K2" s="1095"/>
      <c r="L2" s="1095"/>
      <c r="M2" s="1095"/>
      <c r="N2" s="1095"/>
      <c r="O2" s="1095"/>
      <c r="P2" s="1095"/>
      <c r="Q2" s="1095"/>
      <c r="R2" s="1095"/>
      <c r="S2" s="1095"/>
    </row>
    <row r="3" spans="1:22" ht="15.6">
      <c r="A3" s="1445" t="s">
        <v>672</v>
      </c>
      <c r="B3" s="3119">
        <f ca="1">ROUND(B2*10000/E2,0)</f>
        <v>928</v>
      </c>
      <c r="C3" s="1446" t="s">
        <v>1566</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1560</v>
      </c>
      <c r="B5" s="4949" t="s">
        <v>1561</v>
      </c>
      <c r="C5" s="4950"/>
      <c r="D5" s="2139"/>
      <c r="E5" s="1448" t="s">
        <v>1562</v>
      </c>
      <c r="F5" s="1449" t="s">
        <v>1563</v>
      </c>
      <c r="G5" s="1095"/>
      <c r="H5" s="1095"/>
      <c r="I5" s="1095"/>
      <c r="J5" s="1095"/>
      <c r="K5" s="1095"/>
      <c r="L5" s="1095"/>
      <c r="M5" s="1095"/>
      <c r="N5" s="1095"/>
      <c r="O5" s="1095"/>
      <c r="P5" s="1095"/>
      <c r="Q5" s="1095"/>
      <c r="R5" s="1095"/>
      <c r="S5" s="1095"/>
    </row>
    <row r="6" spans="1:22" ht="14.4">
      <c r="A6" s="2042" t="str">
        <f>'数据-取费表'!AN6</f>
        <v>收益法 (元)</v>
      </c>
      <c r="B6" s="3981">
        <f ca="1">IF(F6="是",'数据-取费表'!AO6,0)</f>
        <v>3.911</v>
      </c>
      <c r="C6" s="1446" t="s">
        <v>1558</v>
      </c>
      <c r="D6" s="2140"/>
      <c r="E6" s="3121">
        <f>IF(OR(A6=0,F6="否"),0,'数据-取费表'!K6+'数据-取费表'!S6)</f>
        <v>42.16</v>
      </c>
      <c r="F6" s="1450" t="s">
        <v>1564</v>
      </c>
      <c r="G6" s="1095"/>
      <c r="H6" s="1095"/>
      <c r="I6" s="1095"/>
      <c r="J6" s="1095"/>
      <c r="K6" s="1095"/>
      <c r="L6" s="1095"/>
      <c r="M6" s="1095"/>
      <c r="N6" s="1095"/>
      <c r="O6" s="1095"/>
      <c r="P6" s="1095"/>
      <c r="Q6" s="1095"/>
      <c r="R6" s="1095"/>
      <c r="S6" s="1095"/>
    </row>
    <row r="7" spans="1:22" ht="14.4">
      <c r="A7" s="2042">
        <f>'数据-取费表'!AN7</f>
        <v>0</v>
      </c>
      <c r="B7" s="3981"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ht="14.4">
      <c r="A8" s="2042">
        <f>'数据-取费表'!AN8</f>
        <v>0</v>
      </c>
      <c r="B8" s="3981"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ht="14.4">
      <c r="A9" s="2042">
        <f>'数据-取费表'!AN9</f>
        <v>0</v>
      </c>
      <c r="B9" s="3981"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ht="14.4">
      <c r="A10" s="2042">
        <f>'数据-取费表'!AN10</f>
        <v>0</v>
      </c>
      <c r="B10" s="3981"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ht="14.4">
      <c r="A11" s="2042">
        <f>'数据-取费表'!AN11</f>
        <v>0</v>
      </c>
      <c r="B11" s="3981"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ht="14.4">
      <c r="A12" s="2042">
        <f>'数据-取费表'!AN12</f>
        <v>0</v>
      </c>
      <c r="B12" s="3981"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估价对象为北京市房地产，为所有。根据《国有土地使用证》[]，估价对象（分摊）出让国有建设用地使用权面积为0平方米，建筑面积为42.16平方米。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估价对象为北京市房地产,属开发建设的，该项目尚在开发建设中。根据《国有土地使用证》[]，估价对象（分摊）出让国有建设用地使用权面积为0平方米，规划建筑面积为42.16平方米。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2026年3月12日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1" t="s">
        <v>880</v>
      </c>
    </row>
    <row r="24" spans="1:1" ht="17.399999999999999">
      <c r="A24" s="1093" t="str">
        <f>"本次评估采用的主估价方法为"&amp;结果表!K4&amp;"和"&amp;结果表!L4&amp;"。"</f>
        <v>本次评估采用的主估价方法为成本法和比较法。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1"/>
      <c r="D2" s="4019" t="b">
        <f>IF(E1="项目模式",IF(E2="——",ROUND(C49*D3/10000,0),ROUND(C49*D3/10000,0)-F2),IF(E1="单套模式",IF(E2="——",ROUND(C49*D3/10000,4),ROUND(C49*D3/10000,4)-F2)))</f>
        <v>0</v>
      </c>
      <c r="E2" s="3032"/>
      <c r="F2" s="4020"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42.16</v>
      </c>
      <c r="E3" s="3455"/>
      <c r="F3" s="4193">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1573</v>
      </c>
      <c r="B4" s="242"/>
      <c r="C4" s="4963" t="s">
        <v>1574</v>
      </c>
      <c r="D4" s="4964"/>
      <c r="E4" s="4965" t="s">
        <v>1575</v>
      </c>
      <c r="F4" s="4966"/>
      <c r="G4" s="4963" t="s">
        <v>1576</v>
      </c>
      <c r="H4" s="4964"/>
      <c r="I4" s="4963" t="s">
        <v>1577</v>
      </c>
      <c r="J4" s="4964"/>
      <c r="K4" s="3050" t="s">
        <v>1578</v>
      </c>
      <c r="L4" s="2146"/>
      <c r="M4" s="2147"/>
      <c r="N4" s="2147"/>
      <c r="O4" s="2147"/>
      <c r="P4" s="4967" t="s">
        <v>1579</v>
      </c>
      <c r="Q4" s="4968"/>
      <c r="R4" s="4973" t="s">
        <v>1575</v>
      </c>
      <c r="S4" s="4974"/>
      <c r="T4" s="4973" t="s">
        <v>1576</v>
      </c>
      <c r="U4" s="4974"/>
      <c r="V4" s="4979" t="s">
        <v>1577</v>
      </c>
      <c r="W4" s="4979"/>
      <c r="X4" s="963"/>
      <c r="Y4" s="4893" t="s">
        <v>1579</v>
      </c>
      <c r="Z4" s="4894"/>
      <c r="AA4" s="4880" t="s">
        <v>1575</v>
      </c>
      <c r="AB4" s="4880" t="s">
        <v>1576</v>
      </c>
      <c r="AC4" s="4880" t="s">
        <v>1577</v>
      </c>
    </row>
    <row r="5" spans="1:29">
      <c r="A5" s="244"/>
      <c r="B5" s="245"/>
      <c r="C5" s="4982" t="s">
        <v>1580</v>
      </c>
      <c r="D5" s="4983"/>
      <c r="E5" s="4989" t="s">
        <v>1581</v>
      </c>
      <c r="F5" s="4990"/>
      <c r="G5" s="4982" t="s">
        <v>1582</v>
      </c>
      <c r="H5" s="4983"/>
      <c r="I5" s="4982" t="s">
        <v>1583</v>
      </c>
      <c r="J5" s="4983"/>
      <c r="K5" s="3051"/>
      <c r="L5" s="2146"/>
      <c r="M5" s="2147"/>
      <c r="N5" s="2147"/>
      <c r="O5" s="2147"/>
      <c r="P5" s="4969"/>
      <c r="Q5" s="4970"/>
      <c r="R5" s="4975"/>
      <c r="S5" s="4976"/>
      <c r="T5" s="4975"/>
      <c r="U5" s="4976"/>
      <c r="V5" s="4979"/>
      <c r="W5" s="4979"/>
      <c r="X5" s="963"/>
      <c r="Y5" s="4895"/>
      <c r="Z5" s="4896"/>
      <c r="AA5" s="4881"/>
      <c r="AB5" s="4881"/>
      <c r="AC5" s="4881"/>
    </row>
    <row r="6" spans="1:29" ht="15" thickBot="1">
      <c r="A6" s="246"/>
      <c r="B6" s="247"/>
      <c r="C6" s="4980" t="s">
        <v>1584</v>
      </c>
      <c r="D6" s="4981"/>
      <c r="E6" s="4987" t="s">
        <v>1584</v>
      </c>
      <c r="F6" s="4988"/>
      <c r="G6" s="4980" t="s">
        <v>1584</v>
      </c>
      <c r="H6" s="4981"/>
      <c r="I6" s="4980" t="s">
        <v>1584</v>
      </c>
      <c r="J6" s="4981"/>
      <c r="K6" s="3051" t="s">
        <v>1585</v>
      </c>
      <c r="L6" s="2146"/>
      <c r="M6" s="2147"/>
      <c r="N6" s="2147"/>
      <c r="O6" s="2147"/>
      <c r="P6" s="4971"/>
      <c r="Q6" s="4972"/>
      <c r="R6" s="4975"/>
      <c r="S6" s="4976"/>
      <c r="T6" s="4977"/>
      <c r="U6" s="4978"/>
      <c r="V6" s="4979"/>
      <c r="W6" s="4979"/>
      <c r="X6" s="963"/>
      <c r="Y6" s="4897"/>
      <c r="Z6" s="4898"/>
      <c r="AA6" s="4882"/>
      <c r="AB6" s="4882"/>
      <c r="AC6" s="4882"/>
    </row>
    <row r="7" spans="1:29" s="49" customFormat="1" ht="15" thickBot="1">
      <c r="A7" s="248" t="s">
        <v>1586</v>
      </c>
      <c r="B7" s="249"/>
      <c r="C7" s="3052">
        <f>'数据-取费表'!B2</f>
        <v>46093</v>
      </c>
      <c r="D7" s="3128">
        <v>100</v>
      </c>
      <c r="E7" s="3082"/>
      <c r="F7" s="4021">
        <f>SUMIF(58:58,YEAR(E7)&amp;"-"&amp;MONTH(E7),59:59)</f>
        <v>0</v>
      </c>
      <c r="G7" s="3082"/>
      <c r="H7" s="4033">
        <f>SUMIF(58:58,YEAR(G7)&amp;"-"&amp;MONTH(G7),59:59)</f>
        <v>0</v>
      </c>
      <c r="I7" s="3082"/>
      <c r="J7" s="4033">
        <f>SUMIF(58:58,YEAR(I7)&amp;"-"&amp;MONTH(I7),59:59)</f>
        <v>0</v>
      </c>
      <c r="K7" s="3043"/>
      <c r="L7" s="2148"/>
      <c r="M7" s="2149"/>
      <c r="N7" s="2149"/>
      <c r="O7" s="2149"/>
      <c r="P7" s="4984" t="s">
        <v>1587</v>
      </c>
      <c r="Q7" s="4986"/>
      <c r="R7" s="3918" t="s">
        <v>18</v>
      </c>
      <c r="S7" s="3404">
        <f t="shared" ref="S7:S15" si="0">F7</f>
        <v>0</v>
      </c>
      <c r="T7" s="3918" t="s">
        <v>18</v>
      </c>
      <c r="U7" s="3404">
        <f t="shared" ref="U7:U15" si="1">H7</f>
        <v>0</v>
      </c>
      <c r="V7" s="3918" t="s">
        <v>18</v>
      </c>
      <c r="W7" s="3404">
        <f t="shared" ref="W7:W15" si="2">J7</f>
        <v>0</v>
      </c>
      <c r="X7" s="504"/>
      <c r="Y7" s="4903" t="s">
        <v>1587</v>
      </c>
      <c r="Z7" s="4904"/>
      <c r="AA7" s="505" t="e">
        <f>D7/F7</f>
        <v>#DIV/0!</v>
      </c>
      <c r="AB7" s="505" t="e">
        <f>D7/H7</f>
        <v>#DIV/0!</v>
      </c>
      <c r="AC7" s="505" t="e">
        <f>D7/J7</f>
        <v>#DIV/0!</v>
      </c>
    </row>
    <row r="8" spans="1:29" s="49" customFormat="1" ht="15" thickBot="1">
      <c r="A8" s="248" t="s">
        <v>1588</v>
      </c>
      <c r="B8" s="249"/>
      <c r="C8" s="3053"/>
      <c r="D8" s="3128">
        <v>100</v>
      </c>
      <c r="E8" s="3107"/>
      <c r="F8" s="4021">
        <f>SUMIF(61:61,E8,62:62)-SUMIF(61:61,C8,62:62)+100</f>
        <v>100</v>
      </c>
      <c r="G8" s="3053"/>
      <c r="H8" s="4033">
        <f>SUMIF(61:61,G8,62:62)-SUMIF(61:61,C8,62:62)+100</f>
        <v>100</v>
      </c>
      <c r="I8" s="3107"/>
      <c r="J8" s="4033">
        <f>SUMIF(61:61,I8,62:62)-SUMIF(61:61,C8,62:62)+100</f>
        <v>100</v>
      </c>
      <c r="K8" s="3043"/>
      <c r="L8" s="2148"/>
      <c r="M8" s="2149"/>
      <c r="N8" s="2149"/>
      <c r="O8" s="2149"/>
      <c r="P8" s="4984" t="s">
        <v>1590</v>
      </c>
      <c r="Q8" s="4985"/>
      <c r="R8" s="3918" t="s">
        <v>18</v>
      </c>
      <c r="S8" s="3404">
        <f t="shared" si="0"/>
        <v>100</v>
      </c>
      <c r="T8" s="3918" t="s">
        <v>18</v>
      </c>
      <c r="U8" s="3404">
        <f t="shared" si="1"/>
        <v>100</v>
      </c>
      <c r="V8" s="3918" t="s">
        <v>18</v>
      </c>
      <c r="W8" s="3404">
        <f t="shared" si="2"/>
        <v>100</v>
      </c>
      <c r="X8" s="504"/>
      <c r="Y8" s="4903" t="s">
        <v>1590</v>
      </c>
      <c r="Z8" s="4904"/>
      <c r="AA8" s="505">
        <f t="shared" ref="AA8:AA19" si="3">D8/F8</f>
        <v>1</v>
      </c>
      <c r="AB8" s="505">
        <f t="shared" ref="AB8:AB19" si="4">D8/H8</f>
        <v>1</v>
      </c>
      <c r="AC8" s="505">
        <f t="shared" ref="AC8:AC19" si="5">D8/J8</f>
        <v>1</v>
      </c>
    </row>
    <row r="9" spans="1:29" s="49" customFormat="1" ht="14.4">
      <c r="A9" s="253" t="s">
        <v>1591</v>
      </c>
      <c r="B9" s="3033" t="s">
        <v>1592</v>
      </c>
      <c r="C9" s="3054"/>
      <c r="D9" s="3129">
        <v>100</v>
      </c>
      <c r="E9" s="3083"/>
      <c r="F9" s="4022">
        <f>SUMIF(63:63,E9,64:64)-SUMIF(63:63,C9,64:64)+100</f>
        <v>100</v>
      </c>
      <c r="G9" s="3112"/>
      <c r="H9" s="4034">
        <f>SUMIF(63:63,G9,64:64)-SUMIF(63:63,C9,64:64)+100</f>
        <v>100</v>
      </c>
      <c r="I9" s="3112"/>
      <c r="J9" s="4034">
        <f>SUMIF(63:63,I9,64:64)-SUMIF(63:63,C9,64:64)+100</f>
        <v>100</v>
      </c>
      <c r="K9" s="3043"/>
      <c r="L9" s="2148"/>
      <c r="M9" s="2149"/>
      <c r="N9" s="2149"/>
      <c r="O9" s="2149"/>
      <c r="P9" s="4962" t="s">
        <v>1593</v>
      </c>
      <c r="Q9" s="3026" t="str">
        <f t="shared" ref="Q9:Q15" si="6">B9</f>
        <v>用途</v>
      </c>
      <c r="R9" s="3918" t="s">
        <v>13</v>
      </c>
      <c r="S9" s="3404">
        <f t="shared" si="0"/>
        <v>100</v>
      </c>
      <c r="T9" s="3918" t="s">
        <v>13</v>
      </c>
      <c r="U9" s="3404">
        <f t="shared" si="1"/>
        <v>100</v>
      </c>
      <c r="V9" s="3918" t="s">
        <v>13</v>
      </c>
      <c r="W9" s="3404">
        <f t="shared" si="2"/>
        <v>100</v>
      </c>
      <c r="X9" s="504"/>
      <c r="Y9" s="4879"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43"/>
      <c r="L10" s="2150"/>
      <c r="M10" s="2151"/>
      <c r="N10" s="2151"/>
      <c r="O10" s="2151"/>
      <c r="P10" s="4962"/>
      <c r="Q10" s="3026" t="str">
        <f t="shared" si="6"/>
        <v>土地使用年限（年）</v>
      </c>
      <c r="R10" s="3918" t="s">
        <v>13</v>
      </c>
      <c r="S10" s="3404">
        <f t="shared" si="0"/>
        <v>100</v>
      </c>
      <c r="T10" s="3918" t="s">
        <v>13</v>
      </c>
      <c r="U10" s="3404">
        <f t="shared" si="1"/>
        <v>100</v>
      </c>
      <c r="V10" s="3918" t="s">
        <v>13</v>
      </c>
      <c r="W10" s="3404">
        <f t="shared" si="2"/>
        <v>100</v>
      </c>
      <c r="X10" s="504"/>
      <c r="Y10" s="4879"/>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44"/>
      <c r="L11" s="2152"/>
      <c r="M11" s="2147"/>
      <c r="N11" s="2147"/>
      <c r="O11" s="2147"/>
      <c r="P11" s="4962"/>
      <c r="Q11" s="3026" t="str">
        <f t="shared" si="6"/>
        <v>容积率</v>
      </c>
      <c r="R11" s="3918" t="s">
        <v>16</v>
      </c>
      <c r="S11" s="3404">
        <f t="shared" si="0"/>
        <v>100</v>
      </c>
      <c r="T11" s="3918" t="s">
        <v>16</v>
      </c>
      <c r="U11" s="3404">
        <f t="shared" si="1"/>
        <v>100</v>
      </c>
      <c r="V11" s="3918" t="s">
        <v>16</v>
      </c>
      <c r="W11" s="3404">
        <f t="shared" si="2"/>
        <v>100</v>
      </c>
      <c r="X11" s="504"/>
      <c r="Y11" s="4879"/>
      <c r="Z11" s="28" t="str">
        <f t="shared" si="7"/>
        <v>容积率</v>
      </c>
      <c r="AA11" s="505">
        <f t="shared" si="3"/>
        <v>1</v>
      </c>
      <c r="AB11" s="505">
        <f t="shared" si="4"/>
        <v>1</v>
      </c>
      <c r="AC11" s="505">
        <f t="shared" si="5"/>
        <v>1</v>
      </c>
    </row>
    <row r="12" spans="1:29" s="49" customFormat="1" ht="15">
      <c r="A12" s="263"/>
      <c r="B12" s="3034">
        <v>111</v>
      </c>
      <c r="C12" s="3057"/>
      <c r="D12" s="3131">
        <v>100</v>
      </c>
      <c r="E12" s="3057"/>
      <c r="F12" s="4023">
        <f>SUMIF(70:70,E12,71:71)-SUMIF(70:70,C12,71:71)+100</f>
        <v>100</v>
      </c>
      <c r="G12" s="3057"/>
      <c r="H12" s="4035">
        <f>SUMIF(70:70,G12,71:71)-SUMIF(70:70,C12,71:71)+100</f>
        <v>100</v>
      </c>
      <c r="I12" s="3057"/>
      <c r="J12" s="4035">
        <f>SUMIF(70:70,I12,71:71)-SUMIF(70:70,C12,71:71)+100</f>
        <v>100</v>
      </c>
      <c r="K12" s="3045"/>
      <c r="L12" s="2148"/>
      <c r="M12" s="2149"/>
      <c r="N12" s="2149"/>
      <c r="O12" s="2149"/>
      <c r="P12" s="4962"/>
      <c r="Q12" s="3026">
        <f t="shared" si="6"/>
        <v>111</v>
      </c>
      <c r="R12" s="3918" t="s">
        <v>16</v>
      </c>
      <c r="S12" s="3404">
        <f t="shared" si="0"/>
        <v>100</v>
      </c>
      <c r="T12" s="3918" t="s">
        <v>16</v>
      </c>
      <c r="U12" s="3404">
        <f t="shared" si="1"/>
        <v>100</v>
      </c>
      <c r="V12" s="3918" t="s">
        <v>16</v>
      </c>
      <c r="W12" s="3404">
        <f t="shared" si="2"/>
        <v>100</v>
      </c>
      <c r="X12" s="504"/>
      <c r="Y12" s="4879"/>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045"/>
      <c r="L13" s="2153"/>
      <c r="M13" s="2147"/>
      <c r="N13" s="2147"/>
      <c r="O13" s="2147"/>
      <c r="P13" s="4962"/>
      <c r="Q13" s="3026">
        <f t="shared" si="6"/>
        <v>111</v>
      </c>
      <c r="R13" s="3918" t="s">
        <v>16</v>
      </c>
      <c r="S13" s="3404">
        <f t="shared" si="0"/>
        <v>100</v>
      </c>
      <c r="T13" s="3918" t="s">
        <v>16</v>
      </c>
      <c r="U13" s="3404">
        <f t="shared" si="1"/>
        <v>100</v>
      </c>
      <c r="V13" s="3918" t="s">
        <v>16</v>
      </c>
      <c r="W13" s="3404">
        <f t="shared" si="2"/>
        <v>100</v>
      </c>
      <c r="X13" s="504"/>
      <c r="Y13" s="4879"/>
      <c r="Z13" s="28">
        <f t="shared" si="7"/>
        <v>111</v>
      </c>
      <c r="AA13" s="505">
        <f t="shared" si="3"/>
        <v>1</v>
      </c>
      <c r="AB13" s="505">
        <f t="shared" si="4"/>
        <v>1</v>
      </c>
      <c r="AC13" s="505">
        <f t="shared" si="5"/>
        <v>1</v>
      </c>
    </row>
    <row r="14" spans="1:29" ht="15.6" thickBot="1">
      <c r="A14" s="266"/>
      <c r="B14" s="3035">
        <v>111</v>
      </c>
      <c r="C14" s="3059"/>
      <c r="D14" s="3133">
        <v>100</v>
      </c>
      <c r="E14" s="3059"/>
      <c r="F14" s="4024">
        <f>SUMIF(74:74,E14,75:75)-SUMIF(74:74,C14,75:75)+100</f>
        <v>100</v>
      </c>
      <c r="G14" s="3059"/>
      <c r="H14" s="4031">
        <f>SUMIF(74:74,G14,75:75)-SUMIF(74:74,C14,75:75)+100</f>
        <v>100</v>
      </c>
      <c r="I14" s="3059"/>
      <c r="J14" s="4031">
        <f>SUMIF(74:74,I14,75:75)-SUMIF(74:74,C14,75:75)+100</f>
        <v>100</v>
      </c>
      <c r="K14" s="3045"/>
      <c r="L14" s="2153"/>
      <c r="M14" s="2147"/>
      <c r="N14" s="2147"/>
      <c r="O14" s="2147"/>
      <c r="P14" s="4962"/>
      <c r="Q14" s="3026">
        <f t="shared" si="6"/>
        <v>111</v>
      </c>
      <c r="R14" s="3918" t="s">
        <v>16</v>
      </c>
      <c r="S14" s="3404">
        <f t="shared" si="0"/>
        <v>100</v>
      </c>
      <c r="T14" s="3918" t="s">
        <v>16</v>
      </c>
      <c r="U14" s="3404">
        <f t="shared" si="1"/>
        <v>100</v>
      </c>
      <c r="V14" s="3918" t="s">
        <v>16</v>
      </c>
      <c r="W14" s="3404">
        <f t="shared" si="2"/>
        <v>100</v>
      </c>
      <c r="X14" s="504"/>
      <c r="Y14" s="4879"/>
      <c r="Z14" s="28">
        <f t="shared" si="7"/>
        <v>111</v>
      </c>
      <c r="AA14" s="505">
        <f t="shared" si="3"/>
        <v>1</v>
      </c>
      <c r="AB14" s="505">
        <f t="shared" si="4"/>
        <v>1</v>
      </c>
      <c r="AC14" s="505">
        <f t="shared" si="5"/>
        <v>1</v>
      </c>
    </row>
    <row r="15" spans="1:29" ht="96.6">
      <c r="A15" s="268" t="s">
        <v>1597</v>
      </c>
      <c r="B15" s="3036" t="s">
        <v>1235</v>
      </c>
      <c r="C15" s="3060" t="str">
        <f>估价对象房地状况!C3</f>
        <v>估价对象周边居住用地比例、居住小区规模和社区发展完善程度，综合评价居住社区成熟度一般</v>
      </c>
      <c r="D15" s="3134">
        <v>100</v>
      </c>
      <c r="E15" s="3092"/>
      <c r="F15" s="4025">
        <f>SUMIF(76:76,E16,77:77)-SUMIF(76:76,C16,77:77)+100</f>
        <v>100</v>
      </c>
      <c r="G15" s="3086"/>
      <c r="H15" s="4025">
        <f>SUMIF(76:76,G16,77:77)-SUMIF(76:76,C16,77:77)+100</f>
        <v>100</v>
      </c>
      <c r="I15" s="3086"/>
      <c r="J15" s="4025">
        <f>SUMIF(76:76,I16,77:77)-SUMIF(76:76,C16,77:77)+100</f>
        <v>100</v>
      </c>
      <c r="K15" s="3046"/>
      <c r="L15" s="2153"/>
      <c r="M15" s="2147"/>
      <c r="N15" s="2147"/>
      <c r="O15" s="2147"/>
      <c r="P15" s="4960" t="s">
        <v>1598</v>
      </c>
      <c r="Q15" s="1618" t="str">
        <f t="shared" si="6"/>
        <v>居住社区成熟度</v>
      </c>
      <c r="R15" s="4039" t="s">
        <v>16</v>
      </c>
      <c r="S15" s="3405">
        <f t="shared" si="0"/>
        <v>100</v>
      </c>
      <c r="T15" s="4039" t="s">
        <v>16</v>
      </c>
      <c r="U15" s="3405">
        <f t="shared" si="1"/>
        <v>100</v>
      </c>
      <c r="V15" s="4039" t="s">
        <v>16</v>
      </c>
      <c r="W15" s="3405">
        <f t="shared" si="2"/>
        <v>100</v>
      </c>
      <c r="X15" s="963"/>
      <c r="Y15" s="4875" t="s">
        <v>1598</v>
      </c>
      <c r="Z15" s="964" t="str">
        <f t="shared" si="7"/>
        <v>居住社区成熟度</v>
      </c>
      <c r="AA15" s="961">
        <f t="shared" si="3"/>
        <v>1</v>
      </c>
      <c r="AB15" s="961">
        <f t="shared" si="4"/>
        <v>1</v>
      </c>
      <c r="AC15" s="961">
        <f t="shared" si="5"/>
        <v>1</v>
      </c>
    </row>
    <row r="16" spans="1:29" ht="15">
      <c r="A16" s="260"/>
      <c r="B16" s="3037"/>
      <c r="C16" s="3061"/>
      <c r="D16" s="3135"/>
      <c r="E16" s="3096"/>
      <c r="F16" s="4026"/>
      <c r="G16" s="3090"/>
      <c r="H16" s="4027"/>
      <c r="I16" s="3090"/>
      <c r="J16" s="4026"/>
      <c r="K16" s="3047"/>
      <c r="L16" s="2153"/>
      <c r="M16" s="2147"/>
      <c r="N16" s="2147"/>
      <c r="O16" s="2147"/>
      <c r="P16" s="4961"/>
      <c r="Q16" s="1618"/>
      <c r="R16" s="4039"/>
      <c r="S16" s="3405"/>
      <c r="T16" s="4039"/>
      <c r="U16" s="3405"/>
      <c r="V16" s="4039"/>
      <c r="W16" s="3405"/>
      <c r="X16" s="963"/>
      <c r="Y16" s="4876"/>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93"/>
      <c r="F17" s="4027">
        <f>SUMIF(78:78,E18,79:79)-SUMIF(78:78,C18,79:79)+100</f>
        <v>100</v>
      </c>
      <c r="G17" s="3087"/>
      <c r="H17" s="4028">
        <f>SUMIF(78:78,G18,79:79)-SUMIF(78:78,C18,79:79)+100</f>
        <v>100</v>
      </c>
      <c r="I17" s="3087"/>
      <c r="J17" s="4028">
        <f>SUMIF(78:78,I18,79:79)-SUMIF(78:78,C18,79:79)+100</f>
        <v>100</v>
      </c>
      <c r="K17" s="3046"/>
      <c r="L17" s="2153"/>
      <c r="M17" s="2147"/>
      <c r="N17" s="2147"/>
      <c r="O17" s="2147"/>
      <c r="P17" s="4961"/>
      <c r="Q17" s="1618" t="str">
        <f>B17</f>
        <v>交通便捷度</v>
      </c>
      <c r="R17" s="4039" t="s">
        <v>16</v>
      </c>
      <c r="S17" s="3405">
        <f>F17</f>
        <v>100</v>
      </c>
      <c r="T17" s="4039" t="s">
        <v>16</v>
      </c>
      <c r="U17" s="3405">
        <f>H17</f>
        <v>100</v>
      </c>
      <c r="V17" s="4039" t="s">
        <v>16</v>
      </c>
      <c r="W17" s="3405">
        <f>J17</f>
        <v>100</v>
      </c>
      <c r="X17" s="963"/>
      <c r="Y17" s="4876"/>
      <c r="Z17" s="964" t="str">
        <f>Q17</f>
        <v>交通便捷度</v>
      </c>
      <c r="AA17" s="961">
        <f t="shared" si="3"/>
        <v>1</v>
      </c>
      <c r="AB17" s="961">
        <f t="shared" si="4"/>
        <v>1</v>
      </c>
      <c r="AC17" s="961">
        <f t="shared" si="5"/>
        <v>1</v>
      </c>
    </row>
    <row r="18" spans="1:29" ht="15">
      <c r="A18" s="260"/>
      <c r="B18" s="3039"/>
      <c r="C18" s="3063"/>
      <c r="D18" s="3136"/>
      <c r="E18" s="3094"/>
      <c r="F18" s="4027"/>
      <c r="G18" s="3088"/>
      <c r="H18" s="4026"/>
      <c r="I18" s="3088"/>
      <c r="J18" s="4026"/>
      <c r="K18" s="3047"/>
      <c r="L18" s="2153"/>
      <c r="M18" s="2147"/>
      <c r="N18" s="2147"/>
      <c r="O18" s="2147"/>
      <c r="P18" s="4961"/>
      <c r="Q18" s="1618"/>
      <c r="R18" s="4039"/>
      <c r="S18" s="3405"/>
      <c r="T18" s="4039"/>
      <c r="U18" s="3405"/>
      <c r="V18" s="4039"/>
      <c r="W18" s="3405"/>
      <c r="X18" s="963"/>
      <c r="Y18" s="4876"/>
      <c r="Z18" s="964"/>
      <c r="AA18" s="961">
        <v>1</v>
      </c>
      <c r="AB18" s="961">
        <v>1</v>
      </c>
      <c r="AC18" s="961">
        <v>1</v>
      </c>
    </row>
    <row r="19" spans="1:29" ht="41.4">
      <c r="A19" s="260"/>
      <c r="B19" s="3038" t="s">
        <v>1236</v>
      </c>
      <c r="C19" s="3062" t="str">
        <f>估价对象房地状况!C7</f>
        <v>估价对象所在区域公共配套设施齐备情况</v>
      </c>
      <c r="D19" s="3137">
        <v>100</v>
      </c>
      <c r="E19" s="3095"/>
      <c r="F19" s="4028">
        <f>SUMIF(80:80,E20,81:81)-SUMIF(80:80,C20,81:81)+100</f>
        <v>100</v>
      </c>
      <c r="G19" s="3089"/>
      <c r="H19" s="4027">
        <f>SUMIF(80:80,G20,81:81)-SUMIF(80:80,C20,81:81)+100</f>
        <v>100</v>
      </c>
      <c r="I19" s="3089"/>
      <c r="J19" s="4027">
        <f>SUMIF(80:80,I20,81:81)-SUMIF(80:80,C20,81:81)+100</f>
        <v>100</v>
      </c>
      <c r="K19" s="3046"/>
      <c r="L19" s="2153"/>
      <c r="M19" s="2147"/>
      <c r="N19" s="2147"/>
      <c r="O19" s="2147"/>
      <c r="P19" s="4961"/>
      <c r="Q19" s="1618" t="str">
        <f>B19</f>
        <v>公共配套设施</v>
      </c>
      <c r="R19" s="4039" t="s">
        <v>16</v>
      </c>
      <c r="S19" s="3405">
        <f>F19</f>
        <v>100</v>
      </c>
      <c r="T19" s="4039" t="s">
        <v>16</v>
      </c>
      <c r="U19" s="3405">
        <f>H19</f>
        <v>100</v>
      </c>
      <c r="V19" s="4039" t="s">
        <v>16</v>
      </c>
      <c r="W19" s="3405">
        <f>J19</f>
        <v>100</v>
      </c>
      <c r="X19" s="963"/>
      <c r="Y19" s="4876"/>
      <c r="Z19" s="964" t="str">
        <f>Q19</f>
        <v>公共配套设施</v>
      </c>
      <c r="AA19" s="961">
        <f t="shared" si="3"/>
        <v>1</v>
      </c>
      <c r="AB19" s="961">
        <f t="shared" si="4"/>
        <v>1</v>
      </c>
      <c r="AC19" s="961">
        <f t="shared" si="5"/>
        <v>1</v>
      </c>
    </row>
    <row r="20" spans="1:29" ht="15">
      <c r="A20" s="260"/>
      <c r="B20" s="3039"/>
      <c r="C20" s="3061"/>
      <c r="D20" s="3135"/>
      <c r="E20" s="3096"/>
      <c r="F20" s="4026"/>
      <c r="G20" s="3090"/>
      <c r="H20" s="4026"/>
      <c r="I20" s="3090"/>
      <c r="J20" s="4026"/>
      <c r="K20" s="3047"/>
      <c r="L20" s="2153"/>
      <c r="M20" s="2147"/>
      <c r="N20" s="2147"/>
      <c r="O20" s="2147"/>
      <c r="P20" s="4961"/>
      <c r="Q20" s="1618"/>
      <c r="R20" s="4039"/>
      <c r="S20" s="3405"/>
      <c r="T20" s="4039"/>
      <c r="U20" s="3405"/>
      <c r="V20" s="4039"/>
      <c r="W20" s="3405"/>
      <c r="X20" s="963"/>
      <c r="Y20" s="4876"/>
      <c r="Z20" s="964"/>
      <c r="AA20" s="961">
        <v>1</v>
      </c>
      <c r="AB20" s="961">
        <v>1</v>
      </c>
      <c r="AC20" s="961">
        <v>1</v>
      </c>
    </row>
    <row r="21" spans="1:29" ht="27.6">
      <c r="A21" s="260"/>
      <c r="B21" s="3040" t="s">
        <v>1238</v>
      </c>
      <c r="C21" s="3062" t="str">
        <f>估价对象房地状况!C8</f>
        <v>估价对象所在区域基础设施水平</v>
      </c>
      <c r="D21" s="3136">
        <v>100</v>
      </c>
      <c r="E21" s="3095"/>
      <c r="F21" s="4028">
        <f>SUMIF(82:82,E22,83:83)-SUMIF(82:82,C22,83:83)+100</f>
        <v>100</v>
      </c>
      <c r="G21" s="3089"/>
      <c r="H21" s="4027">
        <f>SUMIF(82:82,G22,83:83)-SUMIF(82:82,C22,83:83)+100</f>
        <v>100</v>
      </c>
      <c r="I21" s="3089"/>
      <c r="J21" s="4027">
        <f>SUMIF(82:82,I22,83:83)-SUMIF(82:82,C22,83:83)+100</f>
        <v>100</v>
      </c>
      <c r="K21" s="3046"/>
      <c r="L21" s="2153"/>
      <c r="M21" s="2147"/>
      <c r="N21" s="2147"/>
      <c r="O21" s="2147"/>
      <c r="P21" s="4961"/>
      <c r="Q21" s="1618" t="str">
        <f>B21</f>
        <v>基础设施水平</v>
      </c>
      <c r="R21" s="4039" t="s">
        <v>13</v>
      </c>
      <c r="S21" s="3405">
        <f>F21</f>
        <v>100</v>
      </c>
      <c r="T21" s="4039" t="s">
        <v>13</v>
      </c>
      <c r="U21" s="3405">
        <f>H21</f>
        <v>100</v>
      </c>
      <c r="V21" s="4039" t="s">
        <v>13</v>
      </c>
      <c r="W21" s="3405">
        <f>J21</f>
        <v>100</v>
      </c>
      <c r="X21" s="963"/>
      <c r="Y21" s="4876"/>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6"/>
      <c r="G22" s="3113"/>
      <c r="H22" s="4026"/>
      <c r="I22" s="3061"/>
      <c r="J22" s="4026"/>
      <c r="K22" s="3048"/>
      <c r="L22" s="2153"/>
      <c r="M22" s="2147"/>
      <c r="N22" s="2147"/>
      <c r="O22" s="2147"/>
      <c r="P22" s="4961"/>
      <c r="Q22" s="1618"/>
      <c r="R22" s="4039"/>
      <c r="S22" s="3405"/>
      <c r="T22" s="4039"/>
      <c r="U22" s="3405"/>
      <c r="V22" s="4039"/>
      <c r="W22" s="3405"/>
      <c r="X22" s="963"/>
      <c r="Y22" s="4876"/>
      <c r="Z22" s="964"/>
      <c r="AA22" s="961">
        <v>1</v>
      </c>
      <c r="AB22" s="961">
        <v>1</v>
      </c>
      <c r="AC22" s="961">
        <v>1</v>
      </c>
    </row>
    <row r="23" spans="1:29" ht="55.2">
      <c r="A23" s="260"/>
      <c r="B23" s="3038" t="s">
        <v>1239</v>
      </c>
      <c r="C23" s="3062" t="str">
        <f>估价对象房地状况!C9</f>
        <v>区域自然环境：；人文环境；综合评价环境状况一般</v>
      </c>
      <c r="D23" s="3136">
        <v>100</v>
      </c>
      <c r="E23" s="3093"/>
      <c r="F23" s="4027">
        <f>SUMIF(84:84,E24,85:85)-SUMIF(84:84,C24,85:85)+100</f>
        <v>100</v>
      </c>
      <c r="G23" s="3087"/>
      <c r="H23" s="4027">
        <f>SUMIF(84:84,G24,85:85)-SUMIF(84:84,C24,85:85)+100</f>
        <v>100</v>
      </c>
      <c r="I23" s="3087"/>
      <c r="J23" s="4027">
        <f>SUMIF(84:84,I24,85:85)-SUMIF(84:84,C24,85:85)+100</f>
        <v>100</v>
      </c>
      <c r="K23" s="3046"/>
      <c r="L23" s="2153"/>
      <c r="M23" s="2147"/>
      <c r="N23" s="2147"/>
      <c r="O23" s="2147"/>
      <c r="P23" s="4961"/>
      <c r="Q23" s="1618" t="str">
        <f>B23</f>
        <v>自然及人文环境</v>
      </c>
      <c r="R23" s="4039" t="s">
        <v>16</v>
      </c>
      <c r="S23" s="3405">
        <f>F23</f>
        <v>100</v>
      </c>
      <c r="T23" s="4039" t="s">
        <v>16</v>
      </c>
      <c r="U23" s="3405">
        <f>H23</f>
        <v>100</v>
      </c>
      <c r="V23" s="4039" t="s">
        <v>16</v>
      </c>
      <c r="W23" s="3405">
        <f>J23</f>
        <v>100</v>
      </c>
      <c r="X23" s="963"/>
      <c r="Y23" s="4876"/>
      <c r="Z23" s="964" t="str">
        <f>Q23</f>
        <v>自然及人文环境</v>
      </c>
      <c r="AA23" s="961">
        <f>D23/F23</f>
        <v>1</v>
      </c>
      <c r="AB23" s="961">
        <f>D23/H23</f>
        <v>1</v>
      </c>
      <c r="AC23" s="961">
        <f>D23/J23</f>
        <v>1</v>
      </c>
    </row>
    <row r="24" spans="1:29" ht="15">
      <c r="A24" s="260"/>
      <c r="B24" s="3039"/>
      <c r="C24" s="3061"/>
      <c r="D24" s="3135"/>
      <c r="E24" s="3096"/>
      <c r="F24" s="4026"/>
      <c r="G24" s="3090"/>
      <c r="H24" s="4026"/>
      <c r="I24" s="3090"/>
      <c r="J24" s="4026"/>
      <c r="K24" s="3047"/>
      <c r="L24" s="2153"/>
      <c r="M24" s="2147"/>
      <c r="N24" s="2147"/>
      <c r="O24" s="2147"/>
      <c r="P24" s="4961"/>
      <c r="Q24" s="1618"/>
      <c r="R24" s="4039"/>
      <c r="S24" s="3405"/>
      <c r="T24" s="4039"/>
      <c r="U24" s="3405"/>
      <c r="V24" s="4039"/>
      <c r="W24" s="3405"/>
      <c r="X24" s="963"/>
      <c r="Y24" s="4876"/>
      <c r="Z24" s="964"/>
      <c r="AA24" s="961">
        <v>1</v>
      </c>
      <c r="AB24" s="961">
        <v>1</v>
      </c>
      <c r="AC24" s="961">
        <v>1</v>
      </c>
    </row>
    <row r="25" spans="1:29" ht="15">
      <c r="A25" s="260"/>
      <c r="B25" s="3028" t="s">
        <v>1599</v>
      </c>
      <c r="C25" s="3064"/>
      <c r="D25" s="3132">
        <v>100</v>
      </c>
      <c r="E25" s="3068"/>
      <c r="F25" s="4029">
        <f>SUMIF(86:86,E25,87:87)-SUMIF(86:86,C25,87:87)+100</f>
        <v>100</v>
      </c>
      <c r="G25" s="3111"/>
      <c r="H25" s="4029">
        <f>SUMIF(86:86,G25,87:87)-SUMIF(86:86,C25,87:87)+100</f>
        <v>100</v>
      </c>
      <c r="I25" s="3111"/>
      <c r="J25" s="4029">
        <f>SUMIF(86:86,I25,87:87)-SUMIF(86:86,C25,87:87)+100</f>
        <v>100</v>
      </c>
      <c r="K25" s="3044"/>
      <c r="L25" s="2153"/>
      <c r="M25" s="2147"/>
      <c r="N25" s="2147"/>
      <c r="O25" s="2147"/>
      <c r="P25" s="4961"/>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876"/>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29">
        <f>SUMIF(88:88,E26,89:89)-SUMIF(88:88,C26,89:89)+100</f>
        <v>100</v>
      </c>
      <c r="G26" s="3111"/>
      <c r="H26" s="4029">
        <f>SUMIF(88:88,G26,89:89)-SUMIF(88:88,C26,89:89)+100</f>
        <v>100</v>
      </c>
      <c r="I26" s="3111"/>
      <c r="J26" s="4029">
        <f>SUMIF(88:88,I26,89:89)-SUMIF(88:88,C26,89:89)+100</f>
        <v>100</v>
      </c>
      <c r="K26" s="3044"/>
      <c r="L26" s="2153"/>
      <c r="M26" s="2147"/>
      <c r="N26" s="2147"/>
      <c r="O26" s="2147"/>
      <c r="P26" s="4961"/>
      <c r="Q26" s="1618" t="str">
        <f t="shared" si="11"/>
        <v>朝向</v>
      </c>
      <c r="R26" s="4039" t="s">
        <v>16</v>
      </c>
      <c r="S26" s="3405">
        <f t="shared" si="12"/>
        <v>100</v>
      </c>
      <c r="T26" s="4039" t="s">
        <v>16</v>
      </c>
      <c r="U26" s="3405">
        <f t="shared" si="13"/>
        <v>100</v>
      </c>
      <c r="V26" s="4039" t="s">
        <v>16</v>
      </c>
      <c r="W26" s="3405">
        <f t="shared" si="14"/>
        <v>100</v>
      </c>
      <c r="X26" s="963"/>
      <c r="Y26" s="4876"/>
      <c r="Z26" s="964" t="str">
        <f>Q26</f>
        <v>朝向</v>
      </c>
      <c r="AA26" s="961">
        <f t="shared" si="15"/>
        <v>1</v>
      </c>
      <c r="AB26" s="961">
        <f t="shared" si="16"/>
        <v>1</v>
      </c>
      <c r="AC26" s="961">
        <f t="shared" si="17"/>
        <v>1</v>
      </c>
    </row>
    <row r="27" spans="1:29" s="49" customFormat="1" ht="15">
      <c r="A27" s="263"/>
      <c r="B27" s="3041">
        <v>111</v>
      </c>
      <c r="C27" s="3057"/>
      <c r="D27" s="3138">
        <v>100</v>
      </c>
      <c r="E27" s="3108"/>
      <c r="F27" s="4030">
        <f>SUMIF(90:90,E27,91:91)-SUMIF(90:90,C27,91:91)+100</f>
        <v>100</v>
      </c>
      <c r="G27" s="3114"/>
      <c r="H27" s="4030">
        <f>SUMIF(90:90,G27,91:91)-SUMIF(90:90,C27,91:91)+100</f>
        <v>100</v>
      </c>
      <c r="I27" s="3114"/>
      <c r="J27" s="4030">
        <f>SUMIF(90:90,I27,91:91)-SUMIF(90:90,C27,91:91)+100</f>
        <v>100</v>
      </c>
      <c r="K27" s="3045"/>
      <c r="L27" s="2148"/>
      <c r="M27" s="2149"/>
      <c r="N27" s="2149"/>
      <c r="O27" s="2149"/>
      <c r="P27" s="4961"/>
      <c r="Q27" s="3026">
        <f t="shared" si="11"/>
        <v>111</v>
      </c>
      <c r="R27" s="3918" t="s">
        <v>16</v>
      </c>
      <c r="S27" s="3404">
        <f t="shared" si="12"/>
        <v>100</v>
      </c>
      <c r="T27" s="3918" t="s">
        <v>16</v>
      </c>
      <c r="U27" s="3404">
        <f t="shared" si="13"/>
        <v>100</v>
      </c>
      <c r="V27" s="3918" t="s">
        <v>16</v>
      </c>
      <c r="W27" s="3404">
        <f t="shared" si="14"/>
        <v>100</v>
      </c>
      <c r="X27" s="504"/>
      <c r="Y27" s="4876"/>
      <c r="Z27" s="28">
        <f>Q27</f>
        <v>111</v>
      </c>
      <c r="AA27" s="961">
        <f t="shared" si="15"/>
        <v>1</v>
      </c>
      <c r="AB27" s="961">
        <f t="shared" si="16"/>
        <v>1</v>
      </c>
      <c r="AC27" s="961">
        <f t="shared" si="17"/>
        <v>1</v>
      </c>
    </row>
    <row r="28" spans="1:29" ht="15">
      <c r="A28" s="260"/>
      <c r="B28" s="3041">
        <v>111</v>
      </c>
      <c r="C28" s="3058"/>
      <c r="D28" s="3132">
        <v>100</v>
      </c>
      <c r="E28" s="3058"/>
      <c r="F28" s="4029">
        <f>SUMIF(92:92,E28,93:93)-SUMIF(92:92,C28,93:93)+100</f>
        <v>100</v>
      </c>
      <c r="G28" s="3115"/>
      <c r="H28" s="4029">
        <f>SUMIF(92:92,G28,93:93)-SUMIF(92:92,C28,93:93)+100</f>
        <v>100</v>
      </c>
      <c r="I28" s="3058"/>
      <c r="J28" s="4029">
        <f>SUMIF(92:92,I28,93:93)-SUMIF(92:92,C28,93:93)+100</f>
        <v>100</v>
      </c>
      <c r="K28" s="3045"/>
      <c r="L28" s="2153"/>
      <c r="M28" s="2147"/>
      <c r="N28" s="2147"/>
      <c r="O28" s="2147"/>
      <c r="P28" s="4961"/>
      <c r="Q28" s="1618">
        <f t="shared" si="11"/>
        <v>111</v>
      </c>
      <c r="R28" s="4039" t="s">
        <v>16</v>
      </c>
      <c r="S28" s="3405">
        <f t="shared" si="12"/>
        <v>100</v>
      </c>
      <c r="T28" s="4039" t="s">
        <v>16</v>
      </c>
      <c r="U28" s="3405">
        <f t="shared" si="13"/>
        <v>100</v>
      </c>
      <c r="V28" s="4039" t="s">
        <v>16</v>
      </c>
      <c r="W28" s="3405">
        <f t="shared" si="14"/>
        <v>100</v>
      </c>
      <c r="X28" s="963"/>
      <c r="Y28" s="4876"/>
      <c r="Z28" s="964">
        <f t="shared" ref="Z28:Z46" si="18">Q28</f>
        <v>111</v>
      </c>
      <c r="AA28" s="961">
        <f t="shared" si="15"/>
        <v>1</v>
      </c>
      <c r="AB28" s="961">
        <f t="shared" si="16"/>
        <v>1</v>
      </c>
      <c r="AC28" s="961">
        <f t="shared" si="17"/>
        <v>1</v>
      </c>
    </row>
    <row r="29" spans="1:29" ht="15">
      <c r="A29" s="260"/>
      <c r="B29" s="3041">
        <v>111</v>
      </c>
      <c r="C29" s="3058"/>
      <c r="D29" s="3132">
        <v>100</v>
      </c>
      <c r="E29" s="3058"/>
      <c r="F29" s="4029">
        <f>SUMIF(94:94,E29,95:95)-SUMIF(94:94,C29,95:95)+100</f>
        <v>100</v>
      </c>
      <c r="G29" s="3115"/>
      <c r="H29" s="4029">
        <f>SUMIF(94:94,G29,95:95)-SUMIF(94:94,C29,95:95)+100</f>
        <v>100</v>
      </c>
      <c r="I29" s="3058"/>
      <c r="J29" s="4029">
        <f>SUMIF(94:94,I29,95:95)-SUMIF(94:94,C29,95:95)+100</f>
        <v>100</v>
      </c>
      <c r="K29" s="3045"/>
      <c r="L29" s="2153"/>
      <c r="M29" s="2147"/>
      <c r="N29" s="2147"/>
      <c r="O29" s="2147"/>
      <c r="P29" s="4961"/>
      <c r="Q29" s="1618">
        <f t="shared" si="11"/>
        <v>111</v>
      </c>
      <c r="R29" s="4039" t="s">
        <v>16</v>
      </c>
      <c r="S29" s="3405">
        <f t="shared" si="12"/>
        <v>100</v>
      </c>
      <c r="T29" s="4039" t="s">
        <v>16</v>
      </c>
      <c r="U29" s="3405">
        <f t="shared" si="13"/>
        <v>100</v>
      </c>
      <c r="V29" s="4039" t="s">
        <v>16</v>
      </c>
      <c r="W29" s="3405">
        <f t="shared" si="14"/>
        <v>100</v>
      </c>
      <c r="X29" s="963"/>
      <c r="Y29" s="4876"/>
      <c r="Z29" s="964">
        <f t="shared" si="18"/>
        <v>111</v>
      </c>
      <c r="AA29" s="961">
        <f t="shared" si="15"/>
        <v>1</v>
      </c>
      <c r="AB29" s="961">
        <f t="shared" si="16"/>
        <v>1</v>
      </c>
      <c r="AC29" s="961">
        <f t="shared" si="17"/>
        <v>1</v>
      </c>
    </row>
    <row r="30" spans="1:29" ht="15">
      <c r="A30" s="260"/>
      <c r="B30" s="3041">
        <v>111</v>
      </c>
      <c r="C30" s="3058"/>
      <c r="D30" s="3132">
        <v>100</v>
      </c>
      <c r="E30" s="3058"/>
      <c r="F30" s="4029">
        <f>SUMIF(96:96,E30,97:97)-SUMIF(96:96,C30,97:97)+100</f>
        <v>100</v>
      </c>
      <c r="G30" s="3115"/>
      <c r="H30" s="4029">
        <f>SUMIF(96:96,G30,97:97)-SUMIF(96:96,C30,97:97)+100</f>
        <v>100</v>
      </c>
      <c r="I30" s="3058"/>
      <c r="J30" s="4029">
        <f>SUMIF(96:96,I30,97:97)-SUMIF(96:96,C30,97:97)+100</f>
        <v>100</v>
      </c>
      <c r="K30" s="3045"/>
      <c r="L30" s="2153"/>
      <c r="M30" s="2147"/>
      <c r="N30" s="2147"/>
      <c r="O30" s="2147"/>
      <c r="P30" s="4961"/>
      <c r="Q30" s="1618">
        <f t="shared" si="11"/>
        <v>111</v>
      </c>
      <c r="R30" s="4039" t="s">
        <v>16</v>
      </c>
      <c r="S30" s="3405">
        <f t="shared" si="12"/>
        <v>100</v>
      </c>
      <c r="T30" s="4039" t="s">
        <v>16</v>
      </c>
      <c r="U30" s="3405">
        <f t="shared" si="13"/>
        <v>100</v>
      </c>
      <c r="V30" s="4039" t="s">
        <v>16</v>
      </c>
      <c r="W30" s="3405">
        <f t="shared" si="14"/>
        <v>100</v>
      </c>
      <c r="X30" s="963"/>
      <c r="Y30" s="4876"/>
      <c r="Z30" s="964">
        <f t="shared" si="18"/>
        <v>111</v>
      </c>
      <c r="AA30" s="961">
        <f t="shared" si="15"/>
        <v>1</v>
      </c>
      <c r="AB30" s="961">
        <f t="shared" si="16"/>
        <v>1</v>
      </c>
      <c r="AC30" s="961">
        <f t="shared" si="17"/>
        <v>1</v>
      </c>
    </row>
    <row r="31" spans="1:29" ht="15.6" thickBot="1">
      <c r="A31" s="266"/>
      <c r="B31" s="3041">
        <v>111</v>
      </c>
      <c r="C31" s="3059"/>
      <c r="D31" s="3133">
        <v>100</v>
      </c>
      <c r="E31" s="3059"/>
      <c r="F31" s="4031">
        <f>SUMIF(98:98,E31,99:99)-SUMIF(98:98,C31,99:99)+100</f>
        <v>100</v>
      </c>
      <c r="G31" s="3116"/>
      <c r="H31" s="4031">
        <f>SUMIF(98:98,G31,99:99)-SUMIF(98:98,C31,99:99)+100</f>
        <v>100</v>
      </c>
      <c r="I31" s="3059"/>
      <c r="J31" s="4031">
        <f>SUMIF(98:98,I31,99:99)-SUMIF(98:98,C31,99:99)+100</f>
        <v>100</v>
      </c>
      <c r="K31" s="3045"/>
      <c r="L31" s="2153"/>
      <c r="M31" s="2147"/>
      <c r="N31" s="2147"/>
      <c r="O31" s="2147"/>
      <c r="P31" s="4961"/>
      <c r="Q31" s="1618">
        <f t="shared" si="11"/>
        <v>111</v>
      </c>
      <c r="R31" s="4039" t="s">
        <v>16</v>
      </c>
      <c r="S31" s="3405">
        <f t="shared" si="12"/>
        <v>100</v>
      </c>
      <c r="T31" s="4039" t="s">
        <v>16</v>
      </c>
      <c r="U31" s="3405">
        <f t="shared" si="13"/>
        <v>100</v>
      </c>
      <c r="V31" s="4039" t="s">
        <v>16</v>
      </c>
      <c r="W31" s="3405">
        <f t="shared" si="14"/>
        <v>100</v>
      </c>
      <c r="X31" s="963"/>
      <c r="Y31" s="4876"/>
      <c r="Z31" s="964">
        <f t="shared" si="18"/>
        <v>111</v>
      </c>
      <c r="AA31" s="961">
        <f t="shared" si="15"/>
        <v>1</v>
      </c>
      <c r="AB31" s="961">
        <f t="shared" si="16"/>
        <v>1</v>
      </c>
      <c r="AC31" s="961">
        <f t="shared" si="17"/>
        <v>1</v>
      </c>
    </row>
    <row r="32" spans="1:29" ht="15">
      <c r="A32" s="268" t="s">
        <v>1601</v>
      </c>
      <c r="B32" s="3033" t="s">
        <v>1602</v>
      </c>
      <c r="C32" s="3065"/>
      <c r="D32" s="3139">
        <v>100</v>
      </c>
      <c r="E32" s="3109"/>
      <c r="F32" s="4032">
        <f>SUMIF(100:100,E32,101:101)-SUMIF(100:100,C32,101:101)+100</f>
        <v>100</v>
      </c>
      <c r="G32" s="3065"/>
      <c r="H32" s="4036">
        <f>SUMIF(100:100,G32,101:101)-SUMIF(100:100,C32,101:101)+100</f>
        <v>100</v>
      </c>
      <c r="I32" s="3109"/>
      <c r="J32" s="4029">
        <f>SUMIF(100:100,I32,101:101)-SUMIF(100:100,C32,101:101)+100</f>
        <v>100</v>
      </c>
      <c r="K32" s="3044"/>
      <c r="L32" s="2153"/>
      <c r="M32" s="2147"/>
      <c r="N32" s="2147"/>
      <c r="O32" s="2147"/>
      <c r="P32" s="4956" t="s">
        <v>1603</v>
      </c>
      <c r="Q32" s="1618" t="str">
        <f t="shared" si="11"/>
        <v>建筑类型</v>
      </c>
      <c r="R32" s="4039" t="s">
        <v>16</v>
      </c>
      <c r="S32" s="3405">
        <f t="shared" si="12"/>
        <v>100</v>
      </c>
      <c r="T32" s="4039" t="s">
        <v>16</v>
      </c>
      <c r="U32" s="3405">
        <f t="shared" si="13"/>
        <v>100</v>
      </c>
      <c r="V32" s="4039" t="s">
        <v>16</v>
      </c>
      <c r="W32" s="3405">
        <f t="shared" si="14"/>
        <v>100</v>
      </c>
      <c r="X32" s="963"/>
      <c r="Y32" s="4878"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3" t="e">
        <f>LOOKUP(E33,103:103,104:104)-LOOKUP(C33,103:103,104:104)+100</f>
        <v>#N/A</v>
      </c>
      <c r="G33" s="3055"/>
      <c r="H33" s="4035" t="e">
        <f>LOOKUP(G33,103:103,104:104)-LOOKUP(C33,103:103,104:104)+100</f>
        <v>#N/A</v>
      </c>
      <c r="I33" s="3084"/>
      <c r="J33" s="4035" t="e">
        <f>LOOKUP(I33,103:103,104:104)-LOOKUP(C33,103:103,104:104)+100</f>
        <v>#N/A</v>
      </c>
      <c r="K33" s="3045"/>
      <c r="L33" s="2152"/>
      <c r="M33" s="2154"/>
      <c r="N33" s="2154"/>
      <c r="O33" s="2154"/>
      <c r="P33" s="4957"/>
      <c r="Q33" s="3106" t="str">
        <f t="shared" si="11"/>
        <v>项目建筑规模</v>
      </c>
      <c r="R33" s="4040" t="s">
        <v>16</v>
      </c>
      <c r="S33" s="3406" t="e">
        <f t="shared" si="12"/>
        <v>#N/A</v>
      </c>
      <c r="T33" s="4040" t="s">
        <v>16</v>
      </c>
      <c r="U33" s="3406" t="e">
        <f t="shared" si="13"/>
        <v>#N/A</v>
      </c>
      <c r="V33" s="4040" t="s">
        <v>16</v>
      </c>
      <c r="W33" s="3406" t="e">
        <f t="shared" si="14"/>
        <v>#N/A</v>
      </c>
      <c r="X33" s="507"/>
      <c r="Y33" s="4878"/>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2">
        <f>SUMIF(105:105,E34,106:106)-SUMIF(105:105,C34,106:106)+100</f>
        <v>100</v>
      </c>
      <c r="G34" s="3067"/>
      <c r="H34" s="4029">
        <f>SUMIF(105:105,G34,106:106)-SUMIF(105:105,C34,106:106)+100</f>
        <v>100</v>
      </c>
      <c r="I34" s="3110"/>
      <c r="J34" s="4029">
        <f>SUMIF(105:105,I34,106:106)-SUMIF(105:105,C34,106:106)+100</f>
        <v>100</v>
      </c>
      <c r="K34" s="3044"/>
      <c r="L34" s="2153"/>
      <c r="M34" s="2147"/>
      <c r="N34" s="2147"/>
      <c r="O34" s="2147"/>
      <c r="P34" s="4957"/>
      <c r="Q34" s="1618" t="str">
        <f t="shared" si="11"/>
        <v>建筑结构</v>
      </c>
      <c r="R34" s="4039" t="s">
        <v>16</v>
      </c>
      <c r="S34" s="3405">
        <f t="shared" si="12"/>
        <v>100</v>
      </c>
      <c r="T34" s="4039" t="s">
        <v>16</v>
      </c>
      <c r="U34" s="3405">
        <f t="shared" si="13"/>
        <v>100</v>
      </c>
      <c r="V34" s="4039" t="s">
        <v>16</v>
      </c>
      <c r="W34" s="3405">
        <f t="shared" si="14"/>
        <v>100</v>
      </c>
      <c r="X34" s="963"/>
      <c r="Y34" s="4878"/>
      <c r="Z34" s="964" t="str">
        <f t="shared" si="18"/>
        <v>建筑结构</v>
      </c>
      <c r="AA34" s="961">
        <f t="shared" si="15"/>
        <v>1</v>
      </c>
      <c r="AB34" s="961">
        <f t="shared" si="16"/>
        <v>1</v>
      </c>
      <c r="AC34" s="961">
        <f t="shared" si="17"/>
        <v>1</v>
      </c>
    </row>
    <row r="35" spans="1:29" ht="15">
      <c r="A35" s="286"/>
      <c r="B35" s="3028" t="s">
        <v>1606</v>
      </c>
      <c r="C35" s="3068"/>
      <c r="D35" s="3132">
        <v>100</v>
      </c>
      <c r="E35" s="3111"/>
      <c r="F35" s="4032">
        <f>SUMIF(107:107,E35,108:108)-SUMIF(107:107,C35,108:108)+100</f>
        <v>100</v>
      </c>
      <c r="G35" s="3068"/>
      <c r="H35" s="4029">
        <f>SUMIF(107:107,G35,108:108)-SUMIF(107:107,C35,108:108)+100</f>
        <v>100</v>
      </c>
      <c r="I35" s="3111"/>
      <c r="J35" s="4029">
        <f>SUMIF(107:107,I35,108:108)-SUMIF(107:107,C35,108:108)+100</f>
        <v>100</v>
      </c>
      <c r="K35" s="3044"/>
      <c r="L35" s="2153"/>
      <c r="M35" s="2147"/>
      <c r="N35" s="2147"/>
      <c r="O35" s="2147"/>
      <c r="P35" s="4957"/>
      <c r="Q35" s="1618" t="str">
        <f t="shared" si="11"/>
        <v>建筑品质</v>
      </c>
      <c r="R35" s="4039" t="s">
        <v>16</v>
      </c>
      <c r="S35" s="3405">
        <f t="shared" si="12"/>
        <v>100</v>
      </c>
      <c r="T35" s="4039" t="s">
        <v>16</v>
      </c>
      <c r="U35" s="3405">
        <f t="shared" si="13"/>
        <v>100</v>
      </c>
      <c r="V35" s="4039" t="s">
        <v>16</v>
      </c>
      <c r="W35" s="3405">
        <f t="shared" si="14"/>
        <v>100</v>
      </c>
      <c r="X35" s="963"/>
      <c r="Y35" s="4878"/>
      <c r="Z35" s="964" t="str">
        <f t="shared" si="18"/>
        <v>建筑品质</v>
      </c>
      <c r="AA35" s="961">
        <f t="shared" si="15"/>
        <v>1</v>
      </c>
      <c r="AB35" s="961">
        <f t="shared" si="16"/>
        <v>1</v>
      </c>
      <c r="AC35" s="961">
        <f t="shared" si="17"/>
        <v>1</v>
      </c>
    </row>
    <row r="36" spans="1:29" ht="15">
      <c r="A36" s="286"/>
      <c r="B36" s="3028" t="s">
        <v>1607</v>
      </c>
      <c r="C36" s="3068"/>
      <c r="D36" s="3132">
        <v>100</v>
      </c>
      <c r="E36" s="3111"/>
      <c r="F36" s="4032">
        <f>SUMIF(109:109,E36,110:110)-SUMIF(109:109,C36,110:110)+100</f>
        <v>100</v>
      </c>
      <c r="G36" s="3068"/>
      <c r="H36" s="4029">
        <f>SUMIF(109:109,G36,110:110)-SUMIF(109:109,C36,110:110)+100</f>
        <v>100</v>
      </c>
      <c r="I36" s="3111"/>
      <c r="J36" s="4029">
        <f>SUMIF(109:109,I36,110:110)-SUMIF(109:109,C36,110:110)+100</f>
        <v>100</v>
      </c>
      <c r="K36" s="3044"/>
      <c r="L36" s="2153"/>
      <c r="M36" s="2147"/>
      <c r="N36" s="2147"/>
      <c r="O36" s="2147"/>
      <c r="P36" s="4957"/>
      <c r="Q36" s="1618" t="str">
        <f t="shared" si="11"/>
        <v>公共部分装修</v>
      </c>
      <c r="R36" s="4039" t="s">
        <v>16</v>
      </c>
      <c r="S36" s="3405">
        <f t="shared" si="12"/>
        <v>100</v>
      </c>
      <c r="T36" s="4039" t="s">
        <v>16</v>
      </c>
      <c r="U36" s="3405">
        <f t="shared" si="13"/>
        <v>100</v>
      </c>
      <c r="V36" s="4039" t="s">
        <v>16</v>
      </c>
      <c r="W36" s="3405">
        <f t="shared" si="14"/>
        <v>100</v>
      </c>
      <c r="X36" s="963"/>
      <c r="Y36" s="4878"/>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3" t="e">
        <f>LOOKUP(E37,112:112,113:113)-LOOKUP(C37,112:112,113:113)+100</f>
        <v>#N/A</v>
      </c>
      <c r="G37" s="3117"/>
      <c r="H37" s="4035" t="e">
        <f>LOOKUP(G37,112:112,113:113)-LOOKUP(C37,112:112,113:113)+100</f>
        <v>#N/A</v>
      </c>
      <c r="I37" s="3118"/>
      <c r="J37" s="4035" t="e">
        <f>LOOKUP(I37,112:112,113:113)-LOOKUP(C37,112:112,113:113)+100</f>
        <v>#N/A</v>
      </c>
      <c r="K37" s="3044"/>
      <c r="L37" s="2148"/>
      <c r="M37" s="2149"/>
      <c r="N37" s="2149"/>
      <c r="O37" s="2149"/>
      <c r="P37" s="4957"/>
      <c r="Q37" s="3026" t="str">
        <f t="shared" si="11"/>
        <v>成新度</v>
      </c>
      <c r="R37" s="3918" t="s">
        <v>16</v>
      </c>
      <c r="S37" s="3404" t="e">
        <f t="shared" si="12"/>
        <v>#N/A</v>
      </c>
      <c r="T37" s="3918" t="s">
        <v>16</v>
      </c>
      <c r="U37" s="3404" t="e">
        <f t="shared" si="13"/>
        <v>#N/A</v>
      </c>
      <c r="V37" s="3918" t="s">
        <v>16</v>
      </c>
      <c r="W37" s="3404" t="e">
        <f t="shared" si="14"/>
        <v>#N/A</v>
      </c>
      <c r="X37" s="504"/>
      <c r="Y37" s="4878"/>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2">
        <f>SUMIF(114:114,E38,115:115)-SUMIF(114:114,C38,115:115)+100</f>
        <v>100</v>
      </c>
      <c r="G38" s="3068"/>
      <c r="H38" s="4029">
        <f>SUMIF(114:114,G38,115:115)-SUMIF(114:114,C38,115:115)+100</f>
        <v>100</v>
      </c>
      <c r="I38" s="3111"/>
      <c r="J38" s="4029">
        <f>SUMIF(114:114,I38,115:115)-SUMIF(114:114,C38,115:115)+100</f>
        <v>100</v>
      </c>
      <c r="K38" s="3044"/>
      <c r="L38" s="2153"/>
      <c r="M38" s="2147"/>
      <c r="N38" s="2147"/>
      <c r="O38" s="2147"/>
      <c r="P38" s="4957" t="s">
        <v>1603</v>
      </c>
      <c r="Q38" s="1618" t="str">
        <f t="shared" si="11"/>
        <v>物业管理</v>
      </c>
      <c r="R38" s="4039" t="s">
        <v>16</v>
      </c>
      <c r="S38" s="3405">
        <f t="shared" si="12"/>
        <v>100</v>
      </c>
      <c r="T38" s="4039" t="s">
        <v>16</v>
      </c>
      <c r="U38" s="3405">
        <f t="shared" si="13"/>
        <v>100</v>
      </c>
      <c r="V38" s="4039" t="s">
        <v>16</v>
      </c>
      <c r="W38" s="3405">
        <f t="shared" si="14"/>
        <v>100</v>
      </c>
      <c r="X38" s="963"/>
      <c r="Y38" s="4878"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2">
        <f>SUMIF(116:116,E39,117:117)-SUMIF(116:116,C39,117:117)+100</f>
        <v>100</v>
      </c>
      <c r="G39" s="3068"/>
      <c r="H39" s="4029">
        <f>SUMIF(116:116,G39,117:117)-SUMIF(116:116,C39,117:117)+100</f>
        <v>100</v>
      </c>
      <c r="I39" s="3111"/>
      <c r="J39" s="4029">
        <f>SUMIF(116:116,I39,117:117)-SUMIF(116:116,C39,117:117)+100</f>
        <v>100</v>
      </c>
      <c r="K39" s="3044"/>
      <c r="L39" s="2153"/>
      <c r="M39" s="2147"/>
      <c r="N39" s="2147"/>
      <c r="O39" s="2147"/>
      <c r="P39" s="4957"/>
      <c r="Q39" s="1618" t="str">
        <f t="shared" si="11"/>
        <v>市政基础设施</v>
      </c>
      <c r="R39" s="4039" t="s">
        <v>16</v>
      </c>
      <c r="S39" s="3405">
        <f t="shared" si="12"/>
        <v>100</v>
      </c>
      <c r="T39" s="4039" t="s">
        <v>16</v>
      </c>
      <c r="U39" s="3405">
        <f t="shared" si="13"/>
        <v>100</v>
      </c>
      <c r="V39" s="4039" t="s">
        <v>16</v>
      </c>
      <c r="W39" s="3405">
        <f t="shared" si="14"/>
        <v>100</v>
      </c>
      <c r="X39" s="963"/>
      <c r="Y39" s="4878"/>
      <c r="Z39" s="964" t="str">
        <f t="shared" si="18"/>
        <v>市政基础设施</v>
      </c>
      <c r="AA39" s="961">
        <f t="shared" si="15"/>
        <v>1</v>
      </c>
      <c r="AB39" s="961">
        <f t="shared" si="16"/>
        <v>1</v>
      </c>
      <c r="AC39" s="961">
        <f t="shared" si="17"/>
        <v>1</v>
      </c>
    </row>
    <row r="40" spans="1:29" ht="15">
      <c r="A40" s="286"/>
      <c r="B40" s="3028" t="s">
        <v>1611</v>
      </c>
      <c r="C40" s="3068"/>
      <c r="D40" s="3132">
        <v>100</v>
      </c>
      <c r="E40" s="3111"/>
      <c r="F40" s="4032">
        <f>SUMIF(118:118,E40,119:119)-SUMIF(118:118,C40,119:119)+100</f>
        <v>100</v>
      </c>
      <c r="G40" s="3068"/>
      <c r="H40" s="4029">
        <f>SUMIF(118:118,G40,119:119)-SUMIF(118:118,C40,119:119)+100</f>
        <v>100</v>
      </c>
      <c r="I40" s="3111"/>
      <c r="J40" s="4029">
        <f>SUMIF(118:118,I40,119:119)-SUMIF(118:118,C40,119:119)+100</f>
        <v>100</v>
      </c>
      <c r="K40" s="3044"/>
      <c r="L40" s="2153"/>
      <c r="M40" s="2147"/>
      <c r="N40" s="2147"/>
      <c r="O40" s="2147"/>
      <c r="P40" s="4957"/>
      <c r="Q40" s="1618" t="str">
        <f t="shared" si="11"/>
        <v>房型</v>
      </c>
      <c r="R40" s="4039" t="s">
        <v>16</v>
      </c>
      <c r="S40" s="3405">
        <f t="shared" si="12"/>
        <v>100</v>
      </c>
      <c r="T40" s="4039" t="s">
        <v>16</v>
      </c>
      <c r="U40" s="3405">
        <f t="shared" si="13"/>
        <v>100</v>
      </c>
      <c r="V40" s="4039" t="s">
        <v>16</v>
      </c>
      <c r="W40" s="3405">
        <f t="shared" si="14"/>
        <v>100</v>
      </c>
      <c r="X40" s="963"/>
      <c r="Y40" s="4878"/>
      <c r="Z40" s="964" t="str">
        <f t="shared" si="18"/>
        <v>房型</v>
      </c>
      <c r="AA40" s="961">
        <f t="shared" si="15"/>
        <v>1</v>
      </c>
      <c r="AB40" s="961">
        <f t="shared" si="16"/>
        <v>1</v>
      </c>
      <c r="AC40" s="961">
        <f t="shared" si="17"/>
        <v>1</v>
      </c>
    </row>
    <row r="41" spans="1:29" s="285" customFormat="1" ht="28.8">
      <c r="A41" s="283"/>
      <c r="B41" s="3028" t="s">
        <v>1612</v>
      </c>
      <c r="C41" s="3124"/>
      <c r="D41" s="3130">
        <v>100</v>
      </c>
      <c r="E41" s="3084"/>
      <c r="F41" s="4023">
        <f>SUMIF(120:120,E41,121:121)-SUMIF(120:120,C41,121:121)+100</f>
        <v>100</v>
      </c>
      <c r="G41" s="3055"/>
      <c r="H41" s="4035">
        <f>SUMIF(120:120,G41,121:121)-SUMIF(120:120,C41,121:121)+100</f>
        <v>100</v>
      </c>
      <c r="I41" s="3125"/>
      <c r="J41" s="4029">
        <f>SUMIF(120:120,I41,121:121)-SUMIF(120:120,C41,121:121)+100</f>
        <v>100</v>
      </c>
      <c r="K41" s="3045"/>
      <c r="L41" s="2152"/>
      <c r="M41" s="2154"/>
      <c r="N41" s="2154"/>
      <c r="O41" s="2154"/>
      <c r="P41" s="4957"/>
      <c r="Q41" s="3106" t="str">
        <f t="shared" si="11"/>
        <v>单套/主力户型建筑面积</v>
      </c>
      <c r="R41" s="4040" t="s">
        <v>16</v>
      </c>
      <c r="S41" s="3406">
        <f t="shared" si="12"/>
        <v>100</v>
      </c>
      <c r="T41" s="4040" t="s">
        <v>16</v>
      </c>
      <c r="U41" s="3406">
        <f t="shared" si="13"/>
        <v>100</v>
      </c>
      <c r="V41" s="4040" t="s">
        <v>16</v>
      </c>
      <c r="W41" s="3406">
        <f t="shared" si="14"/>
        <v>100</v>
      </c>
      <c r="X41" s="507"/>
      <c r="Y41" s="4878"/>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2">
        <f>SUMIF(122:122,E42,123:123)-SUMIF(122:122,C42,123:123)+100</f>
        <v>100</v>
      </c>
      <c r="G42" s="3068"/>
      <c r="H42" s="4029">
        <f>SUMIF(122:122,G42,123:123)-SUMIF(122:122,C42,123:123)+100</f>
        <v>100</v>
      </c>
      <c r="I42" s="3111"/>
      <c r="J42" s="4029">
        <f>SUMIF(122:122,I42,123:123)-SUMIF(122:122,C42,123:123)+100</f>
        <v>100</v>
      </c>
      <c r="K42" s="3044"/>
      <c r="L42" s="2153"/>
      <c r="M42" s="2147"/>
      <c r="N42" s="2147"/>
      <c r="O42" s="2147"/>
      <c r="P42" s="4957"/>
      <c r="Q42" s="1618" t="str">
        <f t="shared" si="11"/>
        <v>内部装修</v>
      </c>
      <c r="R42" s="4039" t="s">
        <v>16</v>
      </c>
      <c r="S42" s="3405">
        <f t="shared" si="12"/>
        <v>100</v>
      </c>
      <c r="T42" s="4039" t="s">
        <v>16</v>
      </c>
      <c r="U42" s="3405">
        <f t="shared" si="13"/>
        <v>100</v>
      </c>
      <c r="V42" s="4039" t="s">
        <v>16</v>
      </c>
      <c r="W42" s="3405">
        <f t="shared" si="14"/>
        <v>100</v>
      </c>
      <c r="X42" s="963"/>
      <c r="Y42" s="4878"/>
      <c r="Z42" s="964" t="str">
        <f t="shared" si="18"/>
        <v>内部装修</v>
      </c>
      <c r="AA42" s="961">
        <f t="shared" si="15"/>
        <v>1</v>
      </c>
      <c r="AB42" s="961">
        <f t="shared" si="16"/>
        <v>1</v>
      </c>
      <c r="AC42" s="961">
        <f t="shared" si="17"/>
        <v>1</v>
      </c>
    </row>
    <row r="43" spans="1:29" ht="28.8">
      <c r="A43" s="286"/>
      <c r="B43" s="3028" t="s">
        <v>1614</v>
      </c>
      <c r="C43" s="3068"/>
      <c r="D43" s="3132">
        <v>100</v>
      </c>
      <c r="E43" s="3111"/>
      <c r="F43" s="4032">
        <f>SUMIF(124:124,E43,125:125)-SUMIF(124:124,C43,125:125)+100</f>
        <v>100</v>
      </c>
      <c r="G43" s="3068"/>
      <c r="H43" s="4029">
        <f>SUMIF(124:124,G43,125:125)-SUMIF(124:124,C43,125:125)+100</f>
        <v>100</v>
      </c>
      <c r="I43" s="3111"/>
      <c r="J43" s="4029">
        <f>SUMIF(124:124,I43,125:125)-SUMIF(124:124,C43,125:125)+100</f>
        <v>100</v>
      </c>
      <c r="K43" s="3044"/>
      <c r="L43" s="2153"/>
      <c r="M43" s="2147"/>
      <c r="N43" s="2147"/>
      <c r="O43" s="2147"/>
      <c r="P43" s="4957"/>
      <c r="Q43" s="1618" t="str">
        <f t="shared" si="11"/>
        <v>内部装修维护情况</v>
      </c>
      <c r="R43" s="4039" t="s">
        <v>16</v>
      </c>
      <c r="S43" s="3405">
        <f t="shared" si="12"/>
        <v>100</v>
      </c>
      <c r="T43" s="4039" t="s">
        <v>16</v>
      </c>
      <c r="U43" s="3405">
        <f t="shared" si="13"/>
        <v>100</v>
      </c>
      <c r="V43" s="4039" t="s">
        <v>16</v>
      </c>
      <c r="W43" s="3405">
        <f t="shared" si="14"/>
        <v>100</v>
      </c>
      <c r="X43" s="963"/>
      <c r="Y43" s="4878"/>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3">
        <f>SUMIF(126:126,E44,127:127)-SUMIF(126:126,C44,127:127)+100</f>
        <v>100</v>
      </c>
      <c r="G44" s="3066"/>
      <c r="H44" s="4035">
        <f>SUMIF(126:126,G44,127:127)-SUMIF(126:126,C44,127:127)+100</f>
        <v>100</v>
      </c>
      <c r="I44" s="3066"/>
      <c r="J44" s="4035">
        <f>SUMIF(126:126,I44,127:127)-SUMIF(126:126,C44,127:127)+100</f>
        <v>100</v>
      </c>
      <c r="K44" s="3045"/>
      <c r="L44" s="2148"/>
      <c r="M44" s="2149"/>
      <c r="N44" s="2149"/>
      <c r="O44" s="2149"/>
      <c r="P44" s="4957"/>
      <c r="Q44" s="3026">
        <f t="shared" si="11"/>
        <v>111</v>
      </c>
      <c r="R44" s="3918" t="s">
        <v>16</v>
      </c>
      <c r="S44" s="3404">
        <f t="shared" si="12"/>
        <v>100</v>
      </c>
      <c r="T44" s="3918" t="s">
        <v>16</v>
      </c>
      <c r="U44" s="3404">
        <f t="shared" si="13"/>
        <v>100</v>
      </c>
      <c r="V44" s="3918" t="s">
        <v>16</v>
      </c>
      <c r="W44" s="3404">
        <f t="shared" si="14"/>
        <v>100</v>
      </c>
      <c r="X44" s="504"/>
      <c r="Y44" s="4878"/>
      <c r="Z44" s="28">
        <f t="shared" si="18"/>
        <v>111</v>
      </c>
      <c r="AA44" s="505">
        <f t="shared" si="15"/>
        <v>1</v>
      </c>
      <c r="AB44" s="505">
        <f t="shared" si="16"/>
        <v>1</v>
      </c>
      <c r="AC44" s="505">
        <f t="shared" si="17"/>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045"/>
      <c r="L45" s="2153"/>
      <c r="M45" s="2147"/>
      <c r="N45" s="2147"/>
      <c r="O45" s="2147"/>
      <c r="P45" s="4957"/>
      <c r="Q45" s="1618">
        <f t="shared" si="11"/>
        <v>111</v>
      </c>
      <c r="R45" s="4039" t="s">
        <v>16</v>
      </c>
      <c r="S45" s="3405">
        <f t="shared" si="12"/>
        <v>100</v>
      </c>
      <c r="T45" s="4039" t="s">
        <v>16</v>
      </c>
      <c r="U45" s="3405">
        <f t="shared" si="13"/>
        <v>100</v>
      </c>
      <c r="V45" s="4039" t="s">
        <v>16</v>
      </c>
      <c r="W45" s="3405">
        <f t="shared" si="14"/>
        <v>100</v>
      </c>
      <c r="X45" s="963"/>
      <c r="Y45" s="4878"/>
      <c r="Z45" s="964">
        <f t="shared" si="18"/>
        <v>111</v>
      </c>
      <c r="AA45" s="961">
        <f t="shared" si="15"/>
        <v>1</v>
      </c>
      <c r="AB45" s="961">
        <f t="shared" si="16"/>
        <v>1</v>
      </c>
      <c r="AC45" s="961">
        <f t="shared" si="17"/>
        <v>1</v>
      </c>
    </row>
    <row r="46" spans="1:29" ht="15.6" thickBot="1">
      <c r="A46" s="291"/>
      <c r="B46" s="3035">
        <v>111</v>
      </c>
      <c r="C46" s="3059"/>
      <c r="D46" s="3133">
        <v>100</v>
      </c>
      <c r="E46" s="3059"/>
      <c r="F46" s="4024">
        <f>SUMIF(130:130,E46,131:131)-SUMIF(130:130,C46,131:131)+100</f>
        <v>100</v>
      </c>
      <c r="G46" s="3059"/>
      <c r="H46" s="4031">
        <f>SUMIF(130:130,G46,131:131)-SUMIF(130:130,C46,131:131)+100</f>
        <v>100</v>
      </c>
      <c r="I46" s="3059"/>
      <c r="J46" s="4031">
        <f>SUMIF(130:130,I46,131:131)-SUMIF(130:130,C46,131:131)+100</f>
        <v>100</v>
      </c>
      <c r="K46" s="3045"/>
      <c r="L46" s="2153"/>
      <c r="M46" s="2147"/>
      <c r="N46" s="2147"/>
      <c r="O46" s="2147"/>
      <c r="P46" s="4958"/>
      <c r="Q46" s="1618">
        <f t="shared" si="11"/>
        <v>111</v>
      </c>
      <c r="R46" s="4039" t="s">
        <v>15</v>
      </c>
      <c r="S46" s="3405">
        <f t="shared" si="12"/>
        <v>100</v>
      </c>
      <c r="T46" s="4039" t="s">
        <v>15</v>
      </c>
      <c r="U46" s="3405">
        <f t="shared" si="13"/>
        <v>100</v>
      </c>
      <c r="V46" s="4039" t="s">
        <v>15</v>
      </c>
      <c r="W46" s="3405">
        <f t="shared" si="14"/>
        <v>100</v>
      </c>
      <c r="X46" s="963"/>
      <c r="Y46" s="4959"/>
      <c r="Z46" s="964">
        <f t="shared" si="18"/>
        <v>111</v>
      </c>
      <c r="AA46" s="961">
        <f t="shared" si="15"/>
        <v>1</v>
      </c>
      <c r="AB46" s="961">
        <f t="shared" si="16"/>
        <v>1</v>
      </c>
      <c r="AC46" s="961">
        <f t="shared" si="17"/>
        <v>1</v>
      </c>
    </row>
    <row r="47" spans="1:29" ht="14.4">
      <c r="A47" s="292" t="s">
        <v>1615</v>
      </c>
      <c r="B47" s="293"/>
      <c r="C47" s="808" t="s">
        <v>14</v>
      </c>
      <c r="D47" s="809"/>
      <c r="E47" s="3457"/>
      <c r="F47" s="810"/>
      <c r="G47" s="3458"/>
      <c r="H47" s="811"/>
      <c r="I47" s="3457"/>
      <c r="J47" s="811"/>
      <c r="K47" s="3049"/>
      <c r="L47" s="2155"/>
      <c r="M47" s="2156"/>
      <c r="N47" s="2147"/>
      <c r="O47" s="2156"/>
      <c r="P47" s="4954" t="str">
        <f>A47</f>
        <v>成交单价（元/平方米）</v>
      </c>
      <c r="Q47" s="4954"/>
      <c r="R47" s="4955">
        <f>E47</f>
        <v>0</v>
      </c>
      <c r="S47" s="4955"/>
      <c r="T47" s="4955">
        <f>G47</f>
        <v>0</v>
      </c>
      <c r="U47" s="4955"/>
      <c r="V47" s="4955">
        <f>I47</f>
        <v>0</v>
      </c>
      <c r="W47" s="4955"/>
      <c r="X47" s="493"/>
      <c r="Y47" s="509"/>
      <c r="Z47" s="493"/>
      <c r="AA47" s="493"/>
      <c r="AB47" s="493"/>
      <c r="AC47" s="493"/>
    </row>
    <row r="48" spans="1:29" ht="15" thickBot="1">
      <c r="A48" s="295" t="s">
        <v>1616</v>
      </c>
      <c r="B48" s="296"/>
      <c r="C48" s="4037" t="e">
        <f>R49</f>
        <v>#DIV/0!</v>
      </c>
      <c r="D48" s="4194" t="s">
        <v>2040</v>
      </c>
      <c r="E48" s="3127" t="e">
        <f>R48</f>
        <v>#DIV/0!</v>
      </c>
      <c r="F48" s="3042"/>
      <c r="G48" s="3126" t="e">
        <f>T48</f>
        <v>#DIV/0!</v>
      </c>
      <c r="H48" s="3042"/>
      <c r="I48" s="3127" t="e">
        <f>V48</f>
        <v>#DIV/0!</v>
      </c>
      <c r="J48" s="3042"/>
      <c r="K48" s="3097">
        <f>F48+H48+J48</f>
        <v>0</v>
      </c>
      <c r="L48" s="2155"/>
      <c r="M48" s="2156"/>
      <c r="N48" s="2156"/>
      <c r="O48" s="2156"/>
      <c r="P48" s="4954" t="str">
        <f>A48</f>
        <v>比较价值（元/平方米）</v>
      </c>
      <c r="Q48" s="4954"/>
      <c r="R48" s="4955" t="e">
        <f>IF(F1="售价",ROUND(PRODUCT(R47,AA7:AA46),0),ROUND(PRODUCT(R47,AA7:AA46),1))</f>
        <v>#DIV/0!</v>
      </c>
      <c r="S48" s="4955"/>
      <c r="T48" s="4955" t="e">
        <f>IF(F1="售价",ROUND(PRODUCT(T47,AB7:AB46),0),ROUND(PRODUCT(T47,AB7:AB46),1))</f>
        <v>#DIV/0!</v>
      </c>
      <c r="U48" s="4955"/>
      <c r="V48" s="4955" t="e">
        <f>IF(F1="售价",ROUND(PRODUCT(V47,AC7:AC46),0),ROUND(PRODUCT(V47,AC7:AC46),1))</f>
        <v>#DIV/0!</v>
      </c>
      <c r="W48" s="4955"/>
      <c r="X48" s="493"/>
      <c r="Y48" s="493"/>
      <c r="Z48" s="493"/>
      <c r="AA48" s="493"/>
      <c r="AB48" s="493"/>
      <c r="AC48" s="493"/>
    </row>
    <row r="49" spans="1:29" ht="15" thickBot="1">
      <c r="A49" s="297" t="s">
        <v>1617</v>
      </c>
      <c r="B49" s="298"/>
      <c r="C49" s="4038" t="e">
        <f>R49</f>
        <v>#DIV/0!</v>
      </c>
      <c r="D49" s="812"/>
      <c r="E49" s="812"/>
      <c r="F49" s="812"/>
      <c r="G49" s="812"/>
      <c r="H49" s="812"/>
      <c r="I49" s="812"/>
      <c r="J49" s="812"/>
      <c r="K49" s="1474"/>
      <c r="L49" s="2155"/>
      <c r="M49" s="2156"/>
      <c r="N49" s="2156"/>
      <c r="O49" s="2156"/>
      <c r="P49" s="4951" t="str">
        <f>A49</f>
        <v>估价对象XX用房的比较价值（楼面单价，元/平方米）</v>
      </c>
      <c r="Q49" s="4952"/>
      <c r="R49" s="4953" t="e">
        <f>IF(F1="售价",ROUND(IF(D48="简单平均",AVERAGE(R48:V48),R48*F48+T48*H48+V48*J48),0),ROUND(IF(D48="简单平均",AVERAGE(R48:V48),R48*F48+T48*H48+V48*J48),1))</f>
        <v>#DIV/0!</v>
      </c>
      <c r="S49" s="4953"/>
      <c r="T49" s="4953"/>
      <c r="U49" s="4953"/>
      <c r="V49" s="4953"/>
      <c r="W49" s="4953"/>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1621</v>
      </c>
      <c r="B57" s="493"/>
      <c r="C57" s="498"/>
      <c r="D57" s="498"/>
      <c r="E57" s="498"/>
      <c r="F57" s="499"/>
      <c r="G57" s="499"/>
      <c r="H57" s="498"/>
      <c r="I57" s="498"/>
      <c r="J57" s="498"/>
      <c r="K57" s="653"/>
      <c r="L57" s="654"/>
      <c r="M57" s="652"/>
      <c r="N57" s="652"/>
      <c r="O57" s="652"/>
      <c r="P57" s="1477"/>
      <c r="Q57" s="308"/>
    </row>
    <row r="58" spans="1:29" s="311" customFormat="1" ht="14.4">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c r="E59" s="315"/>
      <c r="F59" s="315"/>
      <c r="G59" s="315"/>
      <c r="H59" s="315"/>
      <c r="I59" s="315"/>
      <c r="J59" s="315"/>
      <c r="K59" s="315"/>
      <c r="L59" s="315"/>
      <c r="M59" s="316"/>
      <c r="N59" s="315"/>
      <c r="O59" s="316"/>
      <c r="P59" s="1479"/>
    </row>
    <row r="60" spans="1:29" s="49" customFormat="1" ht="15" thickBot="1">
      <c r="A60" s="318" t="s">
        <v>1623</v>
      </c>
      <c r="B60" s="319"/>
      <c r="C60" s="320"/>
      <c r="D60" s="321"/>
      <c r="E60" s="321"/>
      <c r="F60" s="321"/>
      <c r="G60" s="321"/>
      <c r="H60" s="321"/>
      <c r="I60" s="321"/>
      <c r="J60" s="321"/>
      <c r="K60" s="321"/>
      <c r="L60" s="321"/>
      <c r="M60" s="322"/>
      <c r="N60" s="321"/>
      <c r="O60" s="322"/>
      <c r="P60" s="1479"/>
      <c r="Q60" s="308"/>
    </row>
    <row r="61" spans="1:29" s="49" customFormat="1" ht="14.4">
      <c r="A61" s="324" t="s">
        <v>1624</v>
      </c>
      <c r="B61" s="313"/>
      <c r="C61" s="325" t="s">
        <v>1625</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1626</v>
      </c>
      <c r="B63" s="330" t="s">
        <v>1592</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1595</v>
      </c>
      <c r="C65" s="382"/>
      <c r="D65" s="382"/>
      <c r="E65" s="382"/>
      <c r="F65" s="382"/>
      <c r="G65" s="382"/>
      <c r="H65" s="382"/>
      <c r="I65" s="382"/>
      <c r="J65" s="382"/>
      <c r="K65" s="382"/>
      <c r="L65" s="382"/>
      <c r="M65" s="382"/>
      <c r="N65" s="646"/>
      <c r="O65" s="646"/>
      <c r="P65" s="1481"/>
      <c r="Q65" s="308"/>
    </row>
    <row r="66" spans="1:17" ht="15" thickBot="1">
      <c r="A66" s="336"/>
      <c r="B66" s="345" t="s">
        <v>3871</v>
      </c>
      <c r="C66" s="338"/>
      <c r="D66" s="338"/>
      <c r="E66" s="338"/>
      <c r="F66" s="338"/>
      <c r="G66" s="338"/>
      <c r="H66" s="338"/>
      <c r="I66" s="338"/>
      <c r="J66" s="338"/>
      <c r="K66" s="338"/>
      <c r="L66" s="338"/>
      <c r="M66" s="339"/>
      <c r="N66" s="646"/>
      <c r="O66" s="646"/>
      <c r="P66" s="1481"/>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1641</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1642</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1601</v>
      </c>
      <c r="B100" s="330" t="s">
        <v>1643</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4.4"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6.2"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ht="14.4">
      <c r="B147" s="1488" t="s">
        <v>1671</v>
      </c>
    </row>
    <row r="148" spans="2:11" ht="14.4">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1"/>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1676</v>
      </c>
      <c r="B4" s="242"/>
      <c r="C4" s="4963" t="s">
        <v>1677</v>
      </c>
      <c r="D4" s="4964"/>
      <c r="E4" s="4965" t="s">
        <v>1678</v>
      </c>
      <c r="F4" s="4966"/>
      <c r="G4" s="4963" t="s">
        <v>1679</v>
      </c>
      <c r="H4" s="4964"/>
      <c r="I4" s="4963" t="s">
        <v>1680</v>
      </c>
      <c r="J4" s="4964"/>
      <c r="K4" s="3105" t="s">
        <v>1681</v>
      </c>
      <c r="L4" s="2146"/>
      <c r="M4" s="2147"/>
      <c r="N4" s="2147"/>
      <c r="O4" s="2147"/>
      <c r="P4" s="4967" t="s">
        <v>1682</v>
      </c>
      <c r="Q4" s="4968"/>
      <c r="R4" s="4973" t="s">
        <v>1678</v>
      </c>
      <c r="S4" s="4974"/>
      <c r="T4" s="4973" t="s">
        <v>1679</v>
      </c>
      <c r="U4" s="4974"/>
      <c r="V4" s="4979" t="s">
        <v>1680</v>
      </c>
      <c r="W4" s="4979"/>
      <c r="X4" s="963"/>
      <c r="Y4" s="4893" t="s">
        <v>1682</v>
      </c>
      <c r="Z4" s="4894"/>
      <c r="AA4" s="4880" t="s">
        <v>1678</v>
      </c>
      <c r="AB4" s="4871" t="s">
        <v>1679</v>
      </c>
      <c r="AC4" s="4880" t="s">
        <v>1680</v>
      </c>
    </row>
    <row r="5" spans="1:29">
      <c r="A5" s="244"/>
      <c r="B5" s="245"/>
      <c r="C5" s="4982" t="s">
        <v>1580</v>
      </c>
      <c r="D5" s="4983"/>
      <c r="E5" s="4989" t="s">
        <v>1581</v>
      </c>
      <c r="F5" s="4990"/>
      <c r="G5" s="4982" t="s">
        <v>1582</v>
      </c>
      <c r="H5" s="4983"/>
      <c r="I5" s="4982" t="s">
        <v>1583</v>
      </c>
      <c r="J5" s="4983"/>
      <c r="K5" s="3105"/>
      <c r="L5" s="2146"/>
      <c r="M5" s="2147"/>
      <c r="N5" s="2147"/>
      <c r="O5" s="2147"/>
      <c r="P5" s="4969"/>
      <c r="Q5" s="4970"/>
      <c r="R5" s="4975"/>
      <c r="S5" s="4976"/>
      <c r="T5" s="4975"/>
      <c r="U5" s="4976"/>
      <c r="V5" s="4979"/>
      <c r="W5" s="4979"/>
      <c r="X5" s="963"/>
      <c r="Y5" s="4895"/>
      <c r="Z5" s="4896"/>
      <c r="AA5" s="4881"/>
      <c r="AB5" s="4871"/>
      <c r="AC5" s="4881"/>
    </row>
    <row r="6" spans="1:29" ht="15" thickBot="1">
      <c r="A6" s="246"/>
      <c r="B6" s="247"/>
      <c r="C6" s="4980" t="s">
        <v>1584</v>
      </c>
      <c r="D6" s="4981"/>
      <c r="E6" s="4987" t="s">
        <v>1584</v>
      </c>
      <c r="F6" s="4988"/>
      <c r="G6" s="4980" t="s">
        <v>1584</v>
      </c>
      <c r="H6" s="4981"/>
      <c r="I6" s="4980" t="s">
        <v>1584</v>
      </c>
      <c r="J6" s="4981"/>
      <c r="K6" s="3105" t="s">
        <v>1585</v>
      </c>
      <c r="L6" s="2146"/>
      <c r="M6" s="2147"/>
      <c r="N6" s="2147"/>
      <c r="O6" s="2147"/>
      <c r="P6" s="4971"/>
      <c r="Q6" s="4972"/>
      <c r="R6" s="4975"/>
      <c r="S6" s="4976"/>
      <c r="T6" s="4977"/>
      <c r="U6" s="4978"/>
      <c r="V6" s="4979"/>
      <c r="W6" s="4979"/>
      <c r="X6" s="963"/>
      <c r="Y6" s="4897"/>
      <c r="Z6" s="4898"/>
      <c r="AA6" s="4882"/>
      <c r="AB6" s="4871"/>
      <c r="AC6" s="4882"/>
    </row>
    <row r="7" spans="1:29" s="49" customFormat="1" ht="15" thickBot="1">
      <c r="A7" s="248" t="s">
        <v>1586</v>
      </c>
      <c r="B7" s="249"/>
      <c r="C7" s="250">
        <f>'数据-取费表'!B2</f>
        <v>46093</v>
      </c>
      <c r="D7" s="3128">
        <v>100</v>
      </c>
      <c r="E7" s="3082"/>
      <c r="F7" s="4021">
        <f>SUMIF(58:58,YEAR(E7)&amp;"-"&amp;MONTH(E7),59:59)</f>
        <v>0</v>
      </c>
      <c r="G7" s="3082"/>
      <c r="H7" s="4033">
        <f>SUMIF(58:58,YEAR(G7)&amp;"-"&amp;MONTH(G7),59:59)</f>
        <v>0</v>
      </c>
      <c r="I7" s="3082"/>
      <c r="J7" s="4033">
        <f>SUMIF(58:58,YEAR(I7)&amp;"-"&amp;MONTH(I7),59:59)</f>
        <v>0</v>
      </c>
      <c r="K7" s="3098"/>
      <c r="L7" s="2148"/>
      <c r="M7" s="2149"/>
      <c r="N7" s="2149"/>
      <c r="O7" s="2149"/>
      <c r="P7" s="4984" t="s">
        <v>1587</v>
      </c>
      <c r="Q7" s="4986"/>
      <c r="R7" s="3918" t="s">
        <v>13</v>
      </c>
      <c r="S7" s="3404">
        <f t="shared" ref="S7:S15" si="0">F7</f>
        <v>0</v>
      </c>
      <c r="T7" s="3918" t="s">
        <v>13</v>
      </c>
      <c r="U7" s="3404">
        <f t="shared" ref="U7:U15" si="1">H7</f>
        <v>0</v>
      </c>
      <c r="V7" s="3918" t="s">
        <v>13</v>
      </c>
      <c r="W7" s="3404">
        <f t="shared" ref="W7:W15" si="2">J7</f>
        <v>0</v>
      </c>
      <c r="X7" s="504"/>
      <c r="Y7" s="4903" t="s">
        <v>1587</v>
      </c>
      <c r="Z7" s="4904"/>
      <c r="AA7" s="505" t="e">
        <f>D7/F7</f>
        <v>#DIV/0!</v>
      </c>
      <c r="AB7" s="505" t="e">
        <f>D7/H7</f>
        <v>#DIV/0!</v>
      </c>
      <c r="AC7" s="505" t="e">
        <f>D7/J7</f>
        <v>#DIV/0!</v>
      </c>
    </row>
    <row r="8" spans="1:29" s="49" customFormat="1" ht="15" thickBot="1">
      <c r="A8" s="248" t="s">
        <v>1588</v>
      </c>
      <c r="B8" s="249"/>
      <c r="C8" s="252"/>
      <c r="D8" s="3128">
        <v>100</v>
      </c>
      <c r="E8" s="3053"/>
      <c r="F8" s="4021">
        <f>SUMIF(61:61,E8,62:62)-SUMIF(61:61,C8,62:62)+100</f>
        <v>100</v>
      </c>
      <c r="G8" s="3053"/>
      <c r="H8" s="4033">
        <f>SUMIF(61:61,G8,62:62)-SUMIF(61:61,C8,62:62)+100</f>
        <v>100</v>
      </c>
      <c r="I8" s="3053"/>
      <c r="J8" s="4033">
        <f>SUMIF(61:61,I8,62:62)-SUMIF(61:61,C8,62:62)+100</f>
        <v>100</v>
      </c>
      <c r="K8" s="3098"/>
      <c r="L8" s="2148"/>
      <c r="M8" s="2149"/>
      <c r="N8" s="2149"/>
      <c r="O8" s="2149"/>
      <c r="P8" s="4984" t="s">
        <v>1590</v>
      </c>
      <c r="Q8" s="4985"/>
      <c r="R8" s="3918" t="s">
        <v>13</v>
      </c>
      <c r="S8" s="3404">
        <f t="shared" si="0"/>
        <v>100</v>
      </c>
      <c r="T8" s="3918" t="s">
        <v>13</v>
      </c>
      <c r="U8" s="3404">
        <f t="shared" si="1"/>
        <v>100</v>
      </c>
      <c r="V8" s="3918" t="s">
        <v>13</v>
      </c>
      <c r="W8" s="3404">
        <f t="shared" si="2"/>
        <v>100</v>
      </c>
      <c r="X8" s="504"/>
      <c r="Y8" s="4903" t="s">
        <v>1590</v>
      </c>
      <c r="Z8" s="4904"/>
      <c r="AA8" s="505">
        <f t="shared" ref="AA8:AA46" si="3">D8/F8</f>
        <v>1</v>
      </c>
      <c r="AB8" s="505">
        <f t="shared" ref="AB8:AB46" si="4">D8/H8</f>
        <v>1</v>
      </c>
      <c r="AC8" s="505">
        <f t="shared" ref="AC8:AC46" si="5">D8/J8</f>
        <v>1</v>
      </c>
    </row>
    <row r="9" spans="1:29" s="49" customFormat="1" ht="14.4">
      <c r="A9" s="253" t="s">
        <v>1591</v>
      </c>
      <c r="B9" s="3033" t="s">
        <v>1592</v>
      </c>
      <c r="C9" s="3054"/>
      <c r="D9" s="3129">
        <v>100</v>
      </c>
      <c r="E9" s="3083"/>
      <c r="F9" s="4022">
        <f>SUMIF(63:63,E9,64:64)-SUMIF(63:63,C9,64:64)+100</f>
        <v>100</v>
      </c>
      <c r="G9" s="3083"/>
      <c r="H9" s="4034">
        <f>SUMIF(63:63,G9,64:64)-SUMIF(63:63,C9,64:64)+100</f>
        <v>100</v>
      </c>
      <c r="I9" s="3083"/>
      <c r="J9" s="4034">
        <f>SUMIF(63:63,I9,64:64)-SUMIF(63:63,C9,64:64)+100</f>
        <v>100</v>
      </c>
      <c r="K9" s="3098"/>
      <c r="L9" s="2148"/>
      <c r="M9" s="2149"/>
      <c r="N9" s="2149"/>
      <c r="O9" s="2149"/>
      <c r="P9" s="4962" t="s">
        <v>1593</v>
      </c>
      <c r="Q9" s="3026" t="str">
        <f t="shared" ref="Q9:Q15" si="6">B9</f>
        <v>用途</v>
      </c>
      <c r="R9" s="3918" t="s">
        <v>13</v>
      </c>
      <c r="S9" s="3404">
        <f t="shared" si="0"/>
        <v>100</v>
      </c>
      <c r="T9" s="3918" t="s">
        <v>13</v>
      </c>
      <c r="U9" s="3404">
        <f t="shared" si="1"/>
        <v>100</v>
      </c>
      <c r="V9" s="3918" t="s">
        <v>13</v>
      </c>
      <c r="W9" s="3404">
        <f t="shared" si="2"/>
        <v>100</v>
      </c>
      <c r="X9" s="504"/>
      <c r="Y9" s="4879"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98"/>
      <c r="L10" s="2150"/>
      <c r="M10" s="2151"/>
      <c r="N10" s="2151"/>
      <c r="O10" s="2151"/>
      <c r="P10" s="4962"/>
      <c r="Q10" s="3026" t="str">
        <f t="shared" si="6"/>
        <v>土地使用年限（年）</v>
      </c>
      <c r="R10" s="3918" t="s">
        <v>13</v>
      </c>
      <c r="S10" s="3404">
        <f t="shared" si="0"/>
        <v>100</v>
      </c>
      <c r="T10" s="3918" t="s">
        <v>13</v>
      </c>
      <c r="U10" s="3404">
        <f t="shared" si="1"/>
        <v>100</v>
      </c>
      <c r="V10" s="3918" t="s">
        <v>13</v>
      </c>
      <c r="W10" s="3404">
        <f t="shared" si="2"/>
        <v>100</v>
      </c>
      <c r="X10" s="504"/>
      <c r="Y10" s="4879"/>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99"/>
      <c r="L11" s="2152"/>
      <c r="M11" s="2147"/>
      <c r="N11" s="2147"/>
      <c r="O11" s="2147"/>
      <c r="P11" s="4962"/>
      <c r="Q11" s="3026" t="str">
        <f t="shared" si="6"/>
        <v>容积率</v>
      </c>
      <c r="R11" s="3918" t="s">
        <v>13</v>
      </c>
      <c r="S11" s="3404">
        <f t="shared" si="0"/>
        <v>100</v>
      </c>
      <c r="T11" s="3918" t="s">
        <v>13</v>
      </c>
      <c r="U11" s="3404">
        <f t="shared" si="1"/>
        <v>100</v>
      </c>
      <c r="V11" s="3918" t="s">
        <v>13</v>
      </c>
      <c r="W11" s="3404">
        <f t="shared" si="2"/>
        <v>100</v>
      </c>
      <c r="X11" s="504"/>
      <c r="Y11" s="4879"/>
      <c r="Z11" s="28" t="str">
        <f t="shared" si="7"/>
        <v>容积率</v>
      </c>
      <c r="AA11" s="505">
        <f t="shared" si="3"/>
        <v>1</v>
      </c>
      <c r="AB11" s="505">
        <f t="shared" si="4"/>
        <v>1</v>
      </c>
      <c r="AC11" s="505">
        <f t="shared" si="5"/>
        <v>1</v>
      </c>
    </row>
    <row r="12" spans="1:29" s="49" customFormat="1" ht="15">
      <c r="A12" s="263"/>
      <c r="B12" s="3034">
        <v>111</v>
      </c>
      <c r="C12" s="3057"/>
      <c r="D12" s="3131">
        <v>100</v>
      </c>
      <c r="E12" s="3058"/>
      <c r="F12" s="4023">
        <f>SUMIF(70:70,E12,71:71)-SUMIF(70:70,C12,71:71)+100</f>
        <v>100</v>
      </c>
      <c r="G12" s="3058"/>
      <c r="H12" s="4035">
        <f>SUMIF(70:70,G12,71:71)-SUMIF(70:70,C12,71:71)+100</f>
        <v>100</v>
      </c>
      <c r="I12" s="3058"/>
      <c r="J12" s="4035">
        <f>SUMIF(70:70,I12,71:71)-SUMIF(70:70,C12,71:71)+100</f>
        <v>100</v>
      </c>
      <c r="K12" s="3100"/>
      <c r="L12" s="2148"/>
      <c r="M12" s="2149"/>
      <c r="N12" s="2149"/>
      <c r="O12" s="2149"/>
      <c r="P12" s="4962"/>
      <c r="Q12" s="3026">
        <f t="shared" si="6"/>
        <v>111</v>
      </c>
      <c r="R12" s="3918" t="s">
        <v>13</v>
      </c>
      <c r="S12" s="3404">
        <f t="shared" si="0"/>
        <v>100</v>
      </c>
      <c r="T12" s="3918" t="s">
        <v>13</v>
      </c>
      <c r="U12" s="3404">
        <f t="shared" si="1"/>
        <v>100</v>
      </c>
      <c r="V12" s="3918" t="s">
        <v>13</v>
      </c>
      <c r="W12" s="3404">
        <f t="shared" si="2"/>
        <v>100</v>
      </c>
      <c r="X12" s="504"/>
      <c r="Y12" s="4879"/>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100"/>
      <c r="L13" s="2153"/>
      <c r="M13" s="2147"/>
      <c r="N13" s="2147"/>
      <c r="O13" s="2147"/>
      <c r="P13" s="4962"/>
      <c r="Q13" s="3026">
        <f t="shared" si="6"/>
        <v>111</v>
      </c>
      <c r="R13" s="3918" t="s">
        <v>13</v>
      </c>
      <c r="S13" s="3404">
        <f t="shared" si="0"/>
        <v>100</v>
      </c>
      <c r="T13" s="3918" t="s">
        <v>13</v>
      </c>
      <c r="U13" s="3404">
        <f t="shared" si="1"/>
        <v>100</v>
      </c>
      <c r="V13" s="3918" t="s">
        <v>13</v>
      </c>
      <c r="W13" s="3404">
        <f t="shared" si="2"/>
        <v>100</v>
      </c>
      <c r="X13" s="504"/>
      <c r="Y13" s="4879"/>
      <c r="Z13" s="28">
        <f t="shared" si="7"/>
        <v>111</v>
      </c>
      <c r="AA13" s="505">
        <f t="shared" si="3"/>
        <v>1</v>
      </c>
      <c r="AB13" s="505">
        <f t="shared" si="4"/>
        <v>1</v>
      </c>
      <c r="AC13" s="505">
        <f t="shared" si="5"/>
        <v>1</v>
      </c>
    </row>
    <row r="14" spans="1:29" ht="15.6" thickBot="1">
      <c r="A14" s="266"/>
      <c r="B14" s="3035">
        <v>111</v>
      </c>
      <c r="C14" s="3059"/>
      <c r="D14" s="3133">
        <v>100</v>
      </c>
      <c r="E14" s="3058"/>
      <c r="F14" s="4024">
        <f>SUMIF(74:74,E14,75:75)-SUMIF(74:74,C14,75:75)+100</f>
        <v>100</v>
      </c>
      <c r="G14" s="3058"/>
      <c r="H14" s="4031">
        <f>SUMIF(74:74,G14,75:75)-SUMIF(74:74,C14,75:75)+100</f>
        <v>100</v>
      </c>
      <c r="I14" s="3058"/>
      <c r="J14" s="4031">
        <f>SUMIF(74:74,I14,75:75)-SUMIF(74:74,C14,75:75)+100</f>
        <v>100</v>
      </c>
      <c r="K14" s="3100"/>
      <c r="L14" s="2153"/>
      <c r="M14" s="2147"/>
      <c r="N14" s="2147"/>
      <c r="O14" s="2147"/>
      <c r="P14" s="4962"/>
      <c r="Q14" s="3026">
        <f t="shared" si="6"/>
        <v>111</v>
      </c>
      <c r="R14" s="3918" t="s">
        <v>13</v>
      </c>
      <c r="S14" s="3404">
        <f t="shared" si="0"/>
        <v>100</v>
      </c>
      <c r="T14" s="3918" t="s">
        <v>13</v>
      </c>
      <c r="U14" s="3404">
        <f t="shared" si="1"/>
        <v>100</v>
      </c>
      <c r="V14" s="3918" t="s">
        <v>13</v>
      </c>
      <c r="W14" s="3404">
        <f t="shared" si="2"/>
        <v>100</v>
      </c>
      <c r="X14" s="504"/>
      <c r="Y14" s="4879"/>
      <c r="Z14" s="28">
        <f t="shared" si="7"/>
        <v>111</v>
      </c>
      <c r="AA14" s="505">
        <f t="shared" si="3"/>
        <v>1</v>
      </c>
      <c r="AB14" s="505">
        <f t="shared" si="4"/>
        <v>1</v>
      </c>
      <c r="AC14" s="505">
        <f t="shared" si="5"/>
        <v>1</v>
      </c>
    </row>
    <row r="15" spans="1:29" ht="69">
      <c r="A15" s="268" t="s">
        <v>1597</v>
      </c>
      <c r="B15" s="3036" t="s">
        <v>1684</v>
      </c>
      <c r="C15" s="3060" t="str">
        <f>估价对象房地状况!C4</f>
        <v>估价对象位于XX商圈，周边商业氛围成熟，人流量大，商业繁华度好</v>
      </c>
      <c r="D15" s="3134">
        <v>100</v>
      </c>
      <c r="E15" s="3086"/>
      <c r="F15" s="4043">
        <f>SUMIF(76:76,E16,77:77)-SUMIF(76:76,C16,77:77)+100</f>
        <v>100</v>
      </c>
      <c r="G15" s="3092"/>
      <c r="H15" s="4025">
        <f>SUMIF(76:76,G16,77:77)-SUMIF(76:76,C16,77:77)+100</f>
        <v>100</v>
      </c>
      <c r="I15" s="3086"/>
      <c r="J15" s="4025">
        <f>SUMIF(76:76,I16,77:77)-SUMIF(76:76,C16,77:77)+100</f>
        <v>100</v>
      </c>
      <c r="K15" s="3101"/>
      <c r="L15" s="2153"/>
      <c r="M15" s="2147"/>
      <c r="N15" s="2147"/>
      <c r="O15" s="2147"/>
      <c r="P15" s="4960" t="s">
        <v>1598</v>
      </c>
      <c r="Q15" s="1618" t="str">
        <f t="shared" si="6"/>
        <v>商业繁华度</v>
      </c>
      <c r="R15" s="4039" t="s">
        <v>13</v>
      </c>
      <c r="S15" s="3405">
        <f t="shared" si="0"/>
        <v>100</v>
      </c>
      <c r="T15" s="4039" t="s">
        <v>13</v>
      </c>
      <c r="U15" s="3405">
        <f t="shared" si="1"/>
        <v>100</v>
      </c>
      <c r="V15" s="4039" t="s">
        <v>13</v>
      </c>
      <c r="W15" s="3405">
        <f t="shared" si="2"/>
        <v>100</v>
      </c>
      <c r="X15" s="963"/>
      <c r="Y15" s="4875" t="s">
        <v>1598</v>
      </c>
      <c r="Z15" s="964" t="str">
        <f t="shared" si="7"/>
        <v>商业繁华度</v>
      </c>
      <c r="AA15" s="961">
        <f t="shared" si="3"/>
        <v>1</v>
      </c>
      <c r="AB15" s="961">
        <f t="shared" si="4"/>
        <v>1</v>
      </c>
      <c r="AC15" s="961">
        <f t="shared" si="5"/>
        <v>1</v>
      </c>
    </row>
    <row r="16" spans="1:29" ht="15">
      <c r="A16" s="260"/>
      <c r="B16" s="3037"/>
      <c r="C16" s="3061"/>
      <c r="D16" s="3135"/>
      <c r="E16" s="3061"/>
      <c r="F16" s="4044"/>
      <c r="G16" s="3061"/>
      <c r="H16" s="4027"/>
      <c r="I16" s="3061"/>
      <c r="J16" s="4026"/>
      <c r="K16" s="3102"/>
      <c r="L16" s="2153"/>
      <c r="M16" s="2147"/>
      <c r="N16" s="2147"/>
      <c r="O16" s="2147"/>
      <c r="P16" s="4961"/>
      <c r="Q16" s="1618"/>
      <c r="R16" s="4039"/>
      <c r="S16" s="3405"/>
      <c r="T16" s="4039"/>
      <c r="U16" s="3405"/>
      <c r="V16" s="4039"/>
      <c r="W16" s="3405"/>
      <c r="X16" s="963"/>
      <c r="Y16" s="4876"/>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87"/>
      <c r="F17" s="4045">
        <f>SUMIF(78:78,E18,79:79)-SUMIF(78:78,C18,79:79)+100</f>
        <v>100</v>
      </c>
      <c r="G17" s="3093"/>
      <c r="H17" s="4028">
        <f>SUMIF(78:78,G18,79:79)-SUMIF(78:78,C18,79:79)+100</f>
        <v>100</v>
      </c>
      <c r="I17" s="3087"/>
      <c r="J17" s="4028">
        <f>SUMIF(78:78,I18,79:79)-SUMIF(78:78,C18,79:79)+100</f>
        <v>100</v>
      </c>
      <c r="K17" s="3101"/>
      <c r="L17" s="2153"/>
      <c r="M17" s="2147"/>
      <c r="N17" s="2147"/>
      <c r="O17" s="2147"/>
      <c r="P17" s="4961"/>
      <c r="Q17" s="1618" t="str">
        <f>B17</f>
        <v>交通便捷度</v>
      </c>
      <c r="R17" s="4039" t="s">
        <v>13</v>
      </c>
      <c r="S17" s="3405">
        <f>F17</f>
        <v>100</v>
      </c>
      <c r="T17" s="4039" t="s">
        <v>13</v>
      </c>
      <c r="U17" s="3405">
        <f>H17</f>
        <v>100</v>
      </c>
      <c r="V17" s="4039" t="s">
        <v>13</v>
      </c>
      <c r="W17" s="3405">
        <f>J17</f>
        <v>100</v>
      </c>
      <c r="X17" s="963"/>
      <c r="Y17" s="4876"/>
      <c r="Z17" s="964" t="str">
        <f>Q17</f>
        <v>交通便捷度</v>
      </c>
      <c r="AA17" s="961">
        <f t="shared" si="3"/>
        <v>1</v>
      </c>
      <c r="AB17" s="961">
        <f t="shared" si="4"/>
        <v>1</v>
      </c>
      <c r="AC17" s="961">
        <f t="shared" si="5"/>
        <v>1</v>
      </c>
    </row>
    <row r="18" spans="1:29" ht="15">
      <c r="A18" s="260"/>
      <c r="B18" s="3039"/>
      <c r="C18" s="3063"/>
      <c r="D18" s="3136"/>
      <c r="E18" s="3088"/>
      <c r="F18" s="4045"/>
      <c r="G18" s="3094"/>
      <c r="H18" s="4026"/>
      <c r="I18" s="3088"/>
      <c r="J18" s="4026"/>
      <c r="K18" s="3102"/>
      <c r="L18" s="2153"/>
      <c r="M18" s="2147"/>
      <c r="N18" s="2147"/>
      <c r="O18" s="2147"/>
      <c r="P18" s="4961"/>
      <c r="Q18" s="1618"/>
      <c r="R18" s="4039"/>
      <c r="S18" s="3405"/>
      <c r="T18" s="4039"/>
      <c r="U18" s="3405"/>
      <c r="V18" s="4039"/>
      <c r="W18" s="3405"/>
      <c r="X18" s="963"/>
      <c r="Y18" s="4876"/>
      <c r="Z18" s="964"/>
      <c r="AA18" s="961">
        <v>1</v>
      </c>
      <c r="AB18" s="961">
        <v>1</v>
      </c>
      <c r="AC18" s="961">
        <v>1</v>
      </c>
    </row>
    <row r="19" spans="1:29" ht="41.4">
      <c r="A19" s="260"/>
      <c r="B19" s="3038" t="s">
        <v>1685</v>
      </c>
      <c r="C19" s="3062" t="str">
        <f>估价对象房地状况!C7</f>
        <v>估价对象所在区域公共配套设施齐备情况</v>
      </c>
      <c r="D19" s="3137">
        <v>100</v>
      </c>
      <c r="E19" s="3089"/>
      <c r="F19" s="4046">
        <f>SUMIF(80:80,E20,81:81)-SUMIF(80:80,C20,81:81)+100</f>
        <v>100</v>
      </c>
      <c r="G19" s="3095"/>
      <c r="H19" s="4027">
        <f>SUMIF(80:80,G20,81:81)-SUMIF(80:80,C20,81:81)+100</f>
        <v>100</v>
      </c>
      <c r="I19" s="3089"/>
      <c r="J19" s="4027">
        <f>SUMIF(80:80,I20,81:81)-SUMIF(80:80,C20,81:81)+100</f>
        <v>100</v>
      </c>
      <c r="K19" s="3101"/>
      <c r="L19" s="2153"/>
      <c r="M19" s="2147"/>
      <c r="N19" s="2147"/>
      <c r="O19" s="2147"/>
      <c r="P19" s="4961"/>
      <c r="Q19" s="1618" t="str">
        <f>B19</f>
        <v>公共配套设施</v>
      </c>
      <c r="R19" s="4039" t="s">
        <v>13</v>
      </c>
      <c r="S19" s="3405">
        <f>F19</f>
        <v>100</v>
      </c>
      <c r="T19" s="4039" t="s">
        <v>13</v>
      </c>
      <c r="U19" s="3405">
        <f>H19</f>
        <v>100</v>
      </c>
      <c r="V19" s="4039" t="s">
        <v>13</v>
      </c>
      <c r="W19" s="3405">
        <f>J19</f>
        <v>100</v>
      </c>
      <c r="X19" s="963"/>
      <c r="Y19" s="4876"/>
      <c r="Z19" s="964" t="str">
        <f>Q19</f>
        <v>公共配套设施</v>
      </c>
      <c r="AA19" s="961">
        <f t="shared" si="3"/>
        <v>1</v>
      </c>
      <c r="AB19" s="961">
        <f t="shared" si="4"/>
        <v>1</v>
      </c>
      <c r="AC19" s="961">
        <f t="shared" si="5"/>
        <v>1</v>
      </c>
    </row>
    <row r="20" spans="1:29" ht="15">
      <c r="A20" s="260"/>
      <c r="B20" s="3039"/>
      <c r="C20" s="3061"/>
      <c r="D20" s="3135"/>
      <c r="E20" s="3090"/>
      <c r="F20" s="4044"/>
      <c r="G20" s="3096"/>
      <c r="H20" s="4026"/>
      <c r="I20" s="3090"/>
      <c r="J20" s="4026"/>
      <c r="K20" s="3102"/>
      <c r="L20" s="2153"/>
      <c r="M20" s="2147"/>
      <c r="N20" s="2147"/>
      <c r="O20" s="2147"/>
      <c r="P20" s="4961"/>
      <c r="Q20" s="1618"/>
      <c r="R20" s="4039"/>
      <c r="S20" s="3405"/>
      <c r="T20" s="4039"/>
      <c r="U20" s="3405"/>
      <c r="V20" s="4039"/>
      <c r="W20" s="3405"/>
      <c r="X20" s="963"/>
      <c r="Y20" s="4876"/>
      <c r="Z20" s="964"/>
      <c r="AA20" s="961">
        <v>1</v>
      </c>
      <c r="AB20" s="961">
        <v>1</v>
      </c>
      <c r="AC20" s="961">
        <v>1</v>
      </c>
    </row>
    <row r="21" spans="1:29" ht="27.6">
      <c r="A21" s="260"/>
      <c r="B21" s="3040" t="s">
        <v>1686</v>
      </c>
      <c r="C21" s="3062" t="str">
        <f>估价对象房地状况!C8</f>
        <v>估价对象所在区域基础设施水平</v>
      </c>
      <c r="D21" s="3137">
        <v>100</v>
      </c>
      <c r="E21" s="3089"/>
      <c r="F21" s="4046">
        <f>SUMIF(82:82,E22,83:83)-SUMIF(82:82,C22,83:83)+100</f>
        <v>100</v>
      </c>
      <c r="G21" s="3095"/>
      <c r="H21" s="4027">
        <f>SUMIF(82:82,G22,83:83)-SUMIF(82:82,C22,83:83)+100</f>
        <v>100</v>
      </c>
      <c r="I21" s="3089"/>
      <c r="J21" s="4027">
        <f>SUMIF(82:82,I22,83:83)-SUMIF(82:82,C22,83:83)+100</f>
        <v>100</v>
      </c>
      <c r="K21" s="3101"/>
      <c r="L21" s="2153"/>
      <c r="M21" s="2147"/>
      <c r="N21" s="2147"/>
      <c r="O21" s="2147"/>
      <c r="P21" s="4961"/>
      <c r="Q21" s="1618" t="str">
        <f>B21</f>
        <v>基础设施水平</v>
      </c>
      <c r="R21" s="4039" t="s">
        <v>13</v>
      </c>
      <c r="S21" s="3405">
        <f>F21</f>
        <v>100</v>
      </c>
      <c r="T21" s="4039" t="s">
        <v>13</v>
      </c>
      <c r="U21" s="3405">
        <f>H21</f>
        <v>100</v>
      </c>
      <c r="V21" s="4039" t="s">
        <v>13</v>
      </c>
      <c r="W21" s="3405">
        <f>J21</f>
        <v>100</v>
      </c>
      <c r="X21" s="963"/>
      <c r="Y21" s="4876"/>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4"/>
      <c r="G22" s="3061"/>
      <c r="H22" s="4026"/>
      <c r="I22" s="3061"/>
      <c r="J22" s="4026"/>
      <c r="K22" s="3103"/>
      <c r="L22" s="2153"/>
      <c r="M22" s="2147"/>
      <c r="N22" s="2147"/>
      <c r="O22" s="2147"/>
      <c r="P22" s="4961"/>
      <c r="Q22" s="1618"/>
      <c r="R22" s="4039"/>
      <c r="S22" s="3405"/>
      <c r="T22" s="4039"/>
      <c r="U22" s="3405"/>
      <c r="V22" s="4039"/>
      <c r="W22" s="3405"/>
      <c r="X22" s="963"/>
      <c r="Y22" s="4876"/>
      <c r="Z22" s="964"/>
      <c r="AA22" s="961">
        <v>1</v>
      </c>
      <c r="AB22" s="961">
        <v>1</v>
      </c>
      <c r="AC22" s="961">
        <v>1</v>
      </c>
    </row>
    <row r="23" spans="1:29" ht="55.2">
      <c r="A23" s="260"/>
      <c r="B23" s="3038" t="s">
        <v>1239</v>
      </c>
      <c r="C23" s="3077" t="str">
        <f>估价对象房地状况!C9</f>
        <v>区域自然环境：；人文环境；综合评价环境状况一般</v>
      </c>
      <c r="D23" s="3136">
        <v>100</v>
      </c>
      <c r="E23" s="3087"/>
      <c r="F23" s="4045">
        <f>SUMIF(84:84,E24,85:85)-SUMIF(84:84,C24,85:85)+100</f>
        <v>100</v>
      </c>
      <c r="G23" s="3093"/>
      <c r="H23" s="4027">
        <f>SUMIF(84:84,G24,85:85)-SUMIF(84:84,C24,85:85)+100</f>
        <v>100</v>
      </c>
      <c r="I23" s="3087"/>
      <c r="J23" s="4027">
        <f>SUMIF(84:84,I24,85:85)-SUMIF(84:84,C24,85:85)+100</f>
        <v>100</v>
      </c>
      <c r="K23" s="3101"/>
      <c r="L23" s="2153"/>
      <c r="M23" s="2147"/>
      <c r="N23" s="2147"/>
      <c r="O23" s="2147"/>
      <c r="P23" s="4961"/>
      <c r="Q23" s="1618" t="str">
        <f>B23</f>
        <v>自然及人文环境</v>
      </c>
      <c r="R23" s="4039" t="s">
        <v>13</v>
      </c>
      <c r="S23" s="3405">
        <f>F23</f>
        <v>100</v>
      </c>
      <c r="T23" s="4039" t="s">
        <v>13</v>
      </c>
      <c r="U23" s="3405">
        <f>H23</f>
        <v>100</v>
      </c>
      <c r="V23" s="4039" t="s">
        <v>13</v>
      </c>
      <c r="W23" s="3405">
        <f>J23</f>
        <v>100</v>
      </c>
      <c r="X23" s="963"/>
      <c r="Y23" s="4876"/>
      <c r="Z23" s="964" t="str">
        <f>Q23</f>
        <v>自然及人文环境</v>
      </c>
      <c r="AA23" s="961">
        <f t="shared" si="3"/>
        <v>1</v>
      </c>
      <c r="AB23" s="961">
        <f t="shared" si="4"/>
        <v>1</v>
      </c>
      <c r="AC23" s="961">
        <f t="shared" si="5"/>
        <v>1</v>
      </c>
    </row>
    <row r="24" spans="1:29" ht="15">
      <c r="A24" s="260"/>
      <c r="B24" s="3039"/>
      <c r="C24" s="3061"/>
      <c r="D24" s="3135"/>
      <c r="E24" s="3090"/>
      <c r="F24" s="4044"/>
      <c r="G24" s="3096"/>
      <c r="H24" s="4026"/>
      <c r="I24" s="3090"/>
      <c r="J24" s="4026"/>
      <c r="K24" s="3102"/>
      <c r="L24" s="2153"/>
      <c r="M24" s="2147"/>
      <c r="N24" s="2147"/>
      <c r="O24" s="2147"/>
      <c r="P24" s="4961"/>
      <c r="Q24" s="1618"/>
      <c r="R24" s="4039"/>
      <c r="S24" s="3405"/>
      <c r="T24" s="4039"/>
      <c r="U24" s="3405"/>
      <c r="V24" s="4039"/>
      <c r="W24" s="3405"/>
      <c r="X24" s="963"/>
      <c r="Y24" s="4876"/>
      <c r="Z24" s="964"/>
      <c r="AA24" s="961">
        <v>1</v>
      </c>
      <c r="AB24" s="961">
        <v>1</v>
      </c>
      <c r="AC24" s="961">
        <v>1</v>
      </c>
    </row>
    <row r="25" spans="1:29" ht="15">
      <c r="A25" s="260"/>
      <c r="B25" s="3028" t="s">
        <v>1687</v>
      </c>
      <c r="C25" s="3078"/>
      <c r="D25" s="3132">
        <v>100</v>
      </c>
      <c r="E25" s="3078"/>
      <c r="F25" s="4032">
        <f>SUMIF(86:86,E25,87:87)-SUMIF(86:86,C25,87:87)+100</f>
        <v>100</v>
      </c>
      <c r="G25" s="3078"/>
      <c r="H25" s="4029">
        <f>SUMIF(86:86,G25,87:87)-SUMIF(86:86,C25,87:87)+100</f>
        <v>100</v>
      </c>
      <c r="I25" s="3078"/>
      <c r="J25" s="4029">
        <f>SUMIF(86:86,I25,87:87)-SUMIF(86:86,C25,87:87)+100</f>
        <v>100</v>
      </c>
      <c r="K25" s="3099"/>
      <c r="L25" s="2153"/>
      <c r="M25" s="2147"/>
      <c r="N25" s="2147"/>
      <c r="O25" s="2147"/>
      <c r="P25" s="4961"/>
      <c r="Q25" s="1618" t="str">
        <f t="shared" ref="Q25:Q46" si="11">B25</f>
        <v>临街状况</v>
      </c>
      <c r="R25" s="4039" t="s">
        <v>13</v>
      </c>
      <c r="S25" s="3405">
        <f>F25</f>
        <v>100</v>
      </c>
      <c r="T25" s="4039" t="s">
        <v>13</v>
      </c>
      <c r="U25" s="3405">
        <f>H25</f>
        <v>100</v>
      </c>
      <c r="V25" s="4039" t="s">
        <v>13</v>
      </c>
      <c r="W25" s="3405">
        <f>J25</f>
        <v>100</v>
      </c>
      <c r="X25" s="963"/>
      <c r="Y25" s="4876"/>
      <c r="Z25" s="964" t="str">
        <f>Q25</f>
        <v>临街状况</v>
      </c>
      <c r="AA25" s="961">
        <f t="shared" si="3"/>
        <v>1</v>
      </c>
      <c r="AB25" s="961">
        <f t="shared" si="4"/>
        <v>1</v>
      </c>
      <c r="AC25" s="961">
        <f t="shared" si="5"/>
        <v>1</v>
      </c>
    </row>
    <row r="26" spans="1:29" ht="15">
      <c r="A26" s="260"/>
      <c r="B26" s="3041" t="s">
        <v>1688</v>
      </c>
      <c r="C26" s="3058"/>
      <c r="D26" s="3132">
        <v>100</v>
      </c>
      <c r="E26" s="3058"/>
      <c r="F26" s="4032">
        <f>SUMIF(88:88,E26,89:89)-SUMIF(88:88,C26,89:89)+100</f>
        <v>100</v>
      </c>
      <c r="G26" s="3058"/>
      <c r="H26" s="4029">
        <f>SUMIF(88:88,G26,89:89)-SUMIF(88:88,C26,89:89)+100</f>
        <v>100</v>
      </c>
      <c r="I26" s="3058"/>
      <c r="J26" s="4029">
        <f>SUMIF(88:88,I26,89:89)-SUMIF(88:88,C26,89:89)+100</f>
        <v>100</v>
      </c>
      <c r="K26" s="3100"/>
      <c r="L26" s="2153"/>
      <c r="M26" s="2147"/>
      <c r="N26" s="2147"/>
      <c r="O26" s="2147"/>
      <c r="P26" s="4961"/>
      <c r="Q26" s="1618" t="str">
        <f t="shared" si="11"/>
        <v>平面位置/可视性</v>
      </c>
      <c r="R26" s="4039" t="s">
        <v>13</v>
      </c>
      <c r="S26" s="3405">
        <f>F26</f>
        <v>100</v>
      </c>
      <c r="T26" s="4039" t="s">
        <v>13</v>
      </c>
      <c r="U26" s="3405">
        <f>H26</f>
        <v>100</v>
      </c>
      <c r="V26" s="4039" t="s">
        <v>13</v>
      </c>
      <c r="W26" s="3405">
        <f>J26</f>
        <v>100</v>
      </c>
      <c r="X26" s="963"/>
      <c r="Y26" s="4876"/>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7">
        <f>SUMIF(90:90,E27,91:91)-SUMIF(90:90,C27,91:91)+100</f>
        <v>100</v>
      </c>
      <c r="G27" s="3079"/>
      <c r="H27" s="4030">
        <f>SUMIF(90:90,G27,91:91)-SUMIF(90:90,C27,91:91)+100</f>
        <v>100</v>
      </c>
      <c r="I27" s="3079"/>
      <c r="J27" s="4030">
        <f>SUMIF(90:90,I27,91:91)-SUMIF(90:90,C27,91:91)+100</f>
        <v>100</v>
      </c>
      <c r="K27" s="3099"/>
      <c r="L27" s="2148"/>
      <c r="M27" s="2149"/>
      <c r="N27" s="2149"/>
      <c r="O27" s="2149"/>
      <c r="P27" s="4961"/>
      <c r="Q27" s="3026" t="str">
        <f t="shared" si="11"/>
        <v>人流量</v>
      </c>
      <c r="R27" s="3918" t="s">
        <v>13</v>
      </c>
      <c r="S27" s="3404">
        <f>F27</f>
        <v>100</v>
      </c>
      <c r="T27" s="3918" t="s">
        <v>13</v>
      </c>
      <c r="U27" s="3404">
        <f>H27</f>
        <v>100</v>
      </c>
      <c r="V27" s="3918" t="s">
        <v>13</v>
      </c>
      <c r="W27" s="3404">
        <f>J27</f>
        <v>100</v>
      </c>
      <c r="X27" s="504"/>
      <c r="Y27" s="4876"/>
      <c r="Z27" s="28" t="str">
        <f>Q27</f>
        <v>人流量</v>
      </c>
      <c r="AA27" s="961">
        <f>D27/F27</f>
        <v>1</v>
      </c>
      <c r="AB27" s="961">
        <f>D27/H27</f>
        <v>1</v>
      </c>
      <c r="AC27" s="961">
        <f>D27/J27</f>
        <v>1</v>
      </c>
    </row>
    <row r="28" spans="1:29" ht="15">
      <c r="A28" s="260"/>
      <c r="B28" s="3028" t="s">
        <v>1690</v>
      </c>
      <c r="C28" s="3078"/>
      <c r="D28" s="3132">
        <v>100</v>
      </c>
      <c r="E28" s="3078"/>
      <c r="F28" s="4032">
        <f>SUMIF(92:92,E28,93:93)-SUMIF(92:92,C28,93:93)+100</f>
        <v>100</v>
      </c>
      <c r="G28" s="3078"/>
      <c r="H28" s="4029">
        <f>SUMIF(92:92,G28,93:93)-SUMIF(92:92,C28,93:93)+100</f>
        <v>100</v>
      </c>
      <c r="I28" s="3078"/>
      <c r="J28" s="4029">
        <f>SUMIF(92:92,I28,93:93)-SUMIF(92:92,C28,93:93)+100</f>
        <v>100</v>
      </c>
      <c r="K28" s="3100"/>
      <c r="L28" s="2153"/>
      <c r="M28" s="2147"/>
      <c r="N28" s="2147"/>
      <c r="O28" s="2147"/>
      <c r="P28" s="4961"/>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876"/>
      <c r="Z28" s="964" t="str">
        <f t="shared" ref="Z28:Z46" si="15">Q28</f>
        <v>楼层</v>
      </c>
      <c r="AA28" s="961">
        <f t="shared" si="3"/>
        <v>1</v>
      </c>
      <c r="AB28" s="961">
        <f t="shared" si="4"/>
        <v>1</v>
      </c>
      <c r="AC28" s="961">
        <f t="shared" si="5"/>
        <v>1</v>
      </c>
    </row>
    <row r="29" spans="1:29" ht="15">
      <c r="A29" s="260"/>
      <c r="B29" s="3041">
        <v>111</v>
      </c>
      <c r="C29" s="3058"/>
      <c r="D29" s="3132">
        <v>100</v>
      </c>
      <c r="E29" s="3058"/>
      <c r="F29" s="4032">
        <f>SUMIF(94:94,E29,95:95)-SUMIF(94:94,C29,95:95)+100</f>
        <v>100</v>
      </c>
      <c r="G29" s="3058"/>
      <c r="H29" s="4029">
        <f>SUMIF(94:94,G29,95:95)-SUMIF(94:94,C29,95:95)+100</f>
        <v>100</v>
      </c>
      <c r="I29" s="3058"/>
      <c r="J29" s="4029">
        <f>SUMIF(94:94,I29,95:95)-SUMIF(94:94,C29,95:95)+100</f>
        <v>100</v>
      </c>
      <c r="K29" s="3100"/>
      <c r="L29" s="2153"/>
      <c r="M29" s="2147"/>
      <c r="N29" s="2147"/>
      <c r="O29" s="2147"/>
      <c r="P29" s="4961"/>
      <c r="Q29" s="1618">
        <f t="shared" si="11"/>
        <v>111</v>
      </c>
      <c r="R29" s="4039" t="s">
        <v>13</v>
      </c>
      <c r="S29" s="3405">
        <f t="shared" si="12"/>
        <v>100</v>
      </c>
      <c r="T29" s="4039" t="s">
        <v>13</v>
      </c>
      <c r="U29" s="3405">
        <f t="shared" si="13"/>
        <v>100</v>
      </c>
      <c r="V29" s="4039" t="s">
        <v>13</v>
      </c>
      <c r="W29" s="3405">
        <f t="shared" si="14"/>
        <v>100</v>
      </c>
      <c r="X29" s="963"/>
      <c r="Y29" s="4876"/>
      <c r="Z29" s="964">
        <f t="shared" si="15"/>
        <v>111</v>
      </c>
      <c r="AA29" s="961">
        <f t="shared" si="3"/>
        <v>1</v>
      </c>
      <c r="AB29" s="961">
        <f t="shared" si="4"/>
        <v>1</v>
      </c>
      <c r="AC29" s="961">
        <f t="shared" si="5"/>
        <v>1</v>
      </c>
    </row>
    <row r="30" spans="1:29" ht="15">
      <c r="A30" s="260"/>
      <c r="B30" s="3041">
        <v>111</v>
      </c>
      <c r="C30" s="3058"/>
      <c r="D30" s="3132">
        <v>100</v>
      </c>
      <c r="E30" s="3058"/>
      <c r="F30" s="4032">
        <f>SUMIF(96:96,E30,97:97)-SUMIF(96:96,C30,97:97)+100</f>
        <v>100</v>
      </c>
      <c r="G30" s="3058"/>
      <c r="H30" s="4029">
        <f>SUMIF(96:96,G30,97:97)-SUMIF(96:96,C30,97:97)+100</f>
        <v>100</v>
      </c>
      <c r="I30" s="3058"/>
      <c r="J30" s="4029">
        <f>SUMIF(96:96,I30,97:97)-SUMIF(96:96,C30,97:97)+100</f>
        <v>100</v>
      </c>
      <c r="K30" s="3100"/>
      <c r="L30" s="2153"/>
      <c r="M30" s="2147"/>
      <c r="N30" s="2147"/>
      <c r="O30" s="2147"/>
      <c r="P30" s="4961"/>
      <c r="Q30" s="1618">
        <f t="shared" si="11"/>
        <v>111</v>
      </c>
      <c r="R30" s="4039" t="s">
        <v>13</v>
      </c>
      <c r="S30" s="3405">
        <f t="shared" si="12"/>
        <v>100</v>
      </c>
      <c r="T30" s="4039" t="s">
        <v>13</v>
      </c>
      <c r="U30" s="3405">
        <f t="shared" si="13"/>
        <v>100</v>
      </c>
      <c r="V30" s="4039" t="s">
        <v>13</v>
      </c>
      <c r="W30" s="3405">
        <f t="shared" si="14"/>
        <v>100</v>
      </c>
      <c r="X30" s="963"/>
      <c r="Y30" s="4876"/>
      <c r="Z30" s="964">
        <f t="shared" si="15"/>
        <v>111</v>
      </c>
      <c r="AA30" s="961">
        <f t="shared" si="3"/>
        <v>1</v>
      </c>
      <c r="AB30" s="961">
        <f t="shared" si="4"/>
        <v>1</v>
      </c>
      <c r="AC30" s="961">
        <f t="shared" si="5"/>
        <v>1</v>
      </c>
    </row>
    <row r="31" spans="1:29" ht="15.6" thickBot="1">
      <c r="A31" s="266"/>
      <c r="B31" s="3041">
        <v>111</v>
      </c>
      <c r="C31" s="3059"/>
      <c r="D31" s="3133">
        <v>100</v>
      </c>
      <c r="E31" s="3058"/>
      <c r="F31" s="4024">
        <f>SUMIF(98:98,E31,99:99)-SUMIF(98:98,C31,99:99)+100</f>
        <v>100</v>
      </c>
      <c r="G31" s="3058"/>
      <c r="H31" s="4031">
        <f>SUMIF(98:98,G31,99:99)-SUMIF(98:98,C31,99:99)+100</f>
        <v>100</v>
      </c>
      <c r="I31" s="3058"/>
      <c r="J31" s="4031">
        <f>SUMIF(98:98,I31,99:99)-SUMIF(98:98,C31,99:99)+100</f>
        <v>100</v>
      </c>
      <c r="K31" s="3100"/>
      <c r="L31" s="2153"/>
      <c r="M31" s="2147"/>
      <c r="N31" s="2147"/>
      <c r="O31" s="2147"/>
      <c r="P31" s="4961"/>
      <c r="Q31" s="1618">
        <f t="shared" si="11"/>
        <v>111</v>
      </c>
      <c r="R31" s="4039" t="s">
        <v>13</v>
      </c>
      <c r="S31" s="3405">
        <f t="shared" si="12"/>
        <v>100</v>
      </c>
      <c r="T31" s="4039" t="s">
        <v>13</v>
      </c>
      <c r="U31" s="3405">
        <f t="shared" si="13"/>
        <v>100</v>
      </c>
      <c r="V31" s="4039" t="s">
        <v>13</v>
      </c>
      <c r="W31" s="3405">
        <f t="shared" si="14"/>
        <v>100</v>
      </c>
      <c r="X31" s="963"/>
      <c r="Y31" s="4876"/>
      <c r="Z31" s="964">
        <f t="shared" si="15"/>
        <v>111</v>
      </c>
      <c r="AA31" s="961">
        <f t="shared" si="3"/>
        <v>1</v>
      </c>
      <c r="AB31" s="961">
        <f t="shared" si="4"/>
        <v>1</v>
      </c>
      <c r="AC31" s="961">
        <f t="shared" si="5"/>
        <v>1</v>
      </c>
    </row>
    <row r="32" spans="1:29" ht="15">
      <c r="A32" s="268" t="s">
        <v>1601</v>
      </c>
      <c r="B32" s="3033" t="s">
        <v>1691</v>
      </c>
      <c r="C32" s="3065"/>
      <c r="D32" s="3139">
        <v>100</v>
      </c>
      <c r="E32" s="3065"/>
      <c r="F32" s="4032">
        <f>SUMIF(100:100,E32,101:101)-SUMIF(100:100,C32,101:101)+100</f>
        <v>100</v>
      </c>
      <c r="G32" s="3065"/>
      <c r="H32" s="4029">
        <f>SUMIF(100:100,G32,101:101)-SUMIF(100:100,C32,101:101)+100</f>
        <v>100</v>
      </c>
      <c r="I32" s="3065"/>
      <c r="J32" s="4036">
        <f>SUMIF(100:100,I32,101:101)-SUMIF(100:100,C32,101:101)+100</f>
        <v>100</v>
      </c>
      <c r="K32" s="3099"/>
      <c r="L32" s="2153"/>
      <c r="M32" s="2147"/>
      <c r="N32" s="2147"/>
      <c r="O32" s="2147"/>
      <c r="P32" s="4956" t="s">
        <v>1603</v>
      </c>
      <c r="Q32" s="1618" t="str">
        <f t="shared" si="11"/>
        <v>商业类型</v>
      </c>
      <c r="R32" s="4039" t="s">
        <v>13</v>
      </c>
      <c r="S32" s="3405">
        <f t="shared" si="12"/>
        <v>100</v>
      </c>
      <c r="T32" s="4039" t="s">
        <v>13</v>
      </c>
      <c r="U32" s="3405">
        <f t="shared" si="13"/>
        <v>100</v>
      </c>
      <c r="V32" s="4039" t="s">
        <v>13</v>
      </c>
      <c r="W32" s="3405">
        <f t="shared" si="14"/>
        <v>100</v>
      </c>
      <c r="X32" s="963"/>
      <c r="Y32" s="4878"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3" t="e">
        <f>LOOKUP(E33,103:103,104:104)-LOOKUP(C33,103:103,104:104)+100</f>
        <v>#N/A</v>
      </c>
      <c r="G33" s="3056"/>
      <c r="H33" s="4035" t="e">
        <f>LOOKUP(G33,103:103,104:104)-LOOKUP(C33,103:103,104:104)+100</f>
        <v>#N/A</v>
      </c>
      <c r="I33" s="3056"/>
      <c r="J33" s="4035" t="e">
        <f>LOOKUP(I33,103:103,104:104)-LOOKUP(C33,103:103,104:104)+100</f>
        <v>#N/A</v>
      </c>
      <c r="K33" s="3100"/>
      <c r="L33" s="2152"/>
      <c r="M33" s="2154"/>
      <c r="N33" s="2154"/>
      <c r="O33" s="2154"/>
      <c r="P33" s="4957"/>
      <c r="Q33" s="3106" t="str">
        <f t="shared" si="11"/>
        <v>项目建筑规模</v>
      </c>
      <c r="R33" s="4040" t="s">
        <v>13</v>
      </c>
      <c r="S33" s="3406" t="e">
        <f t="shared" si="12"/>
        <v>#N/A</v>
      </c>
      <c r="T33" s="4040" t="s">
        <v>13</v>
      </c>
      <c r="U33" s="3406" t="e">
        <f t="shared" si="13"/>
        <v>#N/A</v>
      </c>
      <c r="V33" s="4040" t="s">
        <v>13</v>
      </c>
      <c r="W33" s="3406" t="e">
        <f t="shared" si="14"/>
        <v>#N/A</v>
      </c>
      <c r="X33" s="507"/>
      <c r="Y33" s="4878"/>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2">
        <f>SUMIF(105:105,E34,106:106)-SUMIF(105:105,C34,106:106)+100</f>
        <v>100</v>
      </c>
      <c r="G34" s="3067"/>
      <c r="H34" s="4029">
        <f>SUMIF(105:105,G34,106:106)-SUMIF(105:105,C34,106:106)+100</f>
        <v>100</v>
      </c>
      <c r="I34" s="3067"/>
      <c r="J34" s="4029">
        <f>SUMIF(105:105,I34,106:106)-SUMIF(105:105,C34,106:106)+100</f>
        <v>100</v>
      </c>
      <c r="K34" s="3099"/>
      <c r="L34" s="2153"/>
      <c r="M34" s="2147"/>
      <c r="N34" s="2147"/>
      <c r="O34" s="2147"/>
      <c r="P34" s="4957"/>
      <c r="Q34" s="1618" t="str">
        <f t="shared" si="11"/>
        <v>建筑结构</v>
      </c>
      <c r="R34" s="4039" t="s">
        <v>13</v>
      </c>
      <c r="S34" s="3405">
        <f t="shared" si="12"/>
        <v>100</v>
      </c>
      <c r="T34" s="4039" t="s">
        <v>13</v>
      </c>
      <c r="U34" s="3405">
        <f t="shared" si="13"/>
        <v>100</v>
      </c>
      <c r="V34" s="4039" t="s">
        <v>13</v>
      </c>
      <c r="W34" s="3405">
        <f t="shared" si="14"/>
        <v>100</v>
      </c>
      <c r="X34" s="963"/>
      <c r="Y34" s="4878"/>
      <c r="Z34" s="964" t="str">
        <f t="shared" si="15"/>
        <v>建筑结构</v>
      </c>
      <c r="AA34" s="961">
        <f t="shared" si="3"/>
        <v>1</v>
      </c>
      <c r="AB34" s="961">
        <f t="shared" si="4"/>
        <v>1</v>
      </c>
      <c r="AC34" s="961">
        <f t="shared" si="5"/>
        <v>1</v>
      </c>
    </row>
    <row r="35" spans="1:29" ht="15">
      <c r="A35" s="286"/>
      <c r="B35" s="3028" t="s">
        <v>1692</v>
      </c>
      <c r="C35" s="3068"/>
      <c r="D35" s="3132">
        <v>100</v>
      </c>
      <c r="E35" s="3068"/>
      <c r="F35" s="4032">
        <f>SUMIF(107:107,E35,108:108)-SUMIF(107:107,C35,108:108)+100</f>
        <v>100</v>
      </c>
      <c r="G35" s="3068"/>
      <c r="H35" s="4029">
        <f>SUMIF(107:107,G35,108:108)-SUMIF(107:107,C35,108:108)+100</f>
        <v>100</v>
      </c>
      <c r="I35" s="3068"/>
      <c r="J35" s="4029">
        <f>SUMIF(107:107,I35,108:108)-SUMIF(107:107,C35,108:108)+100</f>
        <v>100</v>
      </c>
      <c r="K35" s="3099"/>
      <c r="L35" s="2153"/>
      <c r="M35" s="2147"/>
      <c r="N35" s="2147"/>
      <c r="O35" s="2147"/>
      <c r="P35" s="4957"/>
      <c r="Q35" s="1618" t="str">
        <f t="shared" si="11"/>
        <v>公共部分装修</v>
      </c>
      <c r="R35" s="4039" t="s">
        <v>13</v>
      </c>
      <c r="S35" s="3405">
        <f t="shared" si="12"/>
        <v>100</v>
      </c>
      <c r="T35" s="4039" t="s">
        <v>13</v>
      </c>
      <c r="U35" s="3405">
        <f t="shared" si="13"/>
        <v>100</v>
      </c>
      <c r="V35" s="4039" t="s">
        <v>13</v>
      </c>
      <c r="W35" s="3405">
        <f t="shared" si="14"/>
        <v>100</v>
      </c>
      <c r="X35" s="963"/>
      <c r="Y35" s="4878"/>
      <c r="Z35" s="964" t="str">
        <f t="shared" si="15"/>
        <v>公共部分装修</v>
      </c>
      <c r="AA35" s="961">
        <f t="shared" si="3"/>
        <v>1</v>
      </c>
      <c r="AB35" s="961">
        <f t="shared" si="4"/>
        <v>1</v>
      </c>
      <c r="AC35" s="961">
        <f t="shared" si="5"/>
        <v>1</v>
      </c>
    </row>
    <row r="36" spans="1:29" ht="15">
      <c r="A36" s="286"/>
      <c r="B36" s="3028" t="s">
        <v>1693</v>
      </c>
      <c r="C36" s="3069"/>
      <c r="D36" s="3132">
        <v>100</v>
      </c>
      <c r="E36" s="3069"/>
      <c r="F36" s="4032" t="e">
        <f>LOOKUP(E36,110:110,111:111)-LOOKUP(C36,110:110,111:111)+100</f>
        <v>#N/A</v>
      </c>
      <c r="G36" s="3069"/>
      <c r="H36" s="4032" t="e">
        <f>LOOKUP(G36,110:110,111:111)-LOOKUP(C36,110:110,111:111)+100</f>
        <v>#N/A</v>
      </c>
      <c r="I36" s="3069"/>
      <c r="J36" s="4029" t="e">
        <f>LOOKUP(I36,110:110,111:111)-LOOKUP(C36,110:110,111:111)+100</f>
        <v>#N/A</v>
      </c>
      <c r="K36" s="3099"/>
      <c r="L36" s="2153"/>
      <c r="M36" s="2147"/>
      <c r="N36" s="2147"/>
      <c r="O36" s="2147"/>
      <c r="P36" s="4957"/>
      <c r="Q36" s="1618" t="str">
        <f t="shared" si="11"/>
        <v>成新度</v>
      </c>
      <c r="R36" s="4039" t="s">
        <v>13</v>
      </c>
      <c r="S36" s="3405" t="e">
        <f t="shared" si="12"/>
        <v>#N/A</v>
      </c>
      <c r="T36" s="4039" t="s">
        <v>13</v>
      </c>
      <c r="U36" s="3405" t="e">
        <f t="shared" si="13"/>
        <v>#N/A</v>
      </c>
      <c r="V36" s="4039" t="s">
        <v>13</v>
      </c>
      <c r="W36" s="3405" t="e">
        <f t="shared" si="14"/>
        <v>#N/A</v>
      </c>
      <c r="X36" s="963"/>
      <c r="Y36" s="4878"/>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2">
        <f>SUMIF(112:112,E37,113:113)-SUMIF(112:112,C37,113:113)+100</f>
        <v>100</v>
      </c>
      <c r="G37" s="3068"/>
      <c r="H37" s="4029">
        <f>SUMIF(112:112,G37,113:113)-SUMIF(112:112,C37,113:113)+100</f>
        <v>100</v>
      </c>
      <c r="I37" s="3068"/>
      <c r="J37" s="4029">
        <f>SUMIF(112:112,I37,113:113)-SUMIF(112:112,C37,113:113)+100</f>
        <v>100</v>
      </c>
      <c r="K37" s="3099"/>
      <c r="L37" s="2148"/>
      <c r="M37" s="2149"/>
      <c r="N37" s="2149"/>
      <c r="O37" s="2149"/>
      <c r="P37" s="4957"/>
      <c r="Q37" s="3026" t="str">
        <f t="shared" si="11"/>
        <v>市政基础设施</v>
      </c>
      <c r="R37" s="3918" t="s">
        <v>13</v>
      </c>
      <c r="S37" s="3404">
        <f t="shared" si="12"/>
        <v>100</v>
      </c>
      <c r="T37" s="3918" t="s">
        <v>13</v>
      </c>
      <c r="U37" s="3404">
        <f t="shared" si="13"/>
        <v>100</v>
      </c>
      <c r="V37" s="3918" t="s">
        <v>13</v>
      </c>
      <c r="W37" s="3404">
        <f t="shared" si="14"/>
        <v>100</v>
      </c>
      <c r="X37" s="504"/>
      <c r="Y37" s="4878"/>
      <c r="Z37" s="28" t="str">
        <f t="shared" si="15"/>
        <v>市政基础设施</v>
      </c>
      <c r="AA37" s="505">
        <f t="shared" si="3"/>
        <v>1</v>
      </c>
      <c r="AB37" s="505">
        <f t="shared" si="4"/>
        <v>1</v>
      </c>
      <c r="AC37" s="505">
        <f t="shared" si="5"/>
        <v>1</v>
      </c>
    </row>
    <row r="38" spans="1:29" ht="15">
      <c r="A38" s="286"/>
      <c r="B38" s="3028" t="s">
        <v>1695</v>
      </c>
      <c r="C38" s="3068"/>
      <c r="D38" s="3132">
        <v>100</v>
      </c>
      <c r="E38" s="3068"/>
      <c r="F38" s="4032">
        <f>SUMIF(114:114,E38,115:115)-SUMIF(114:114,C38,115:115)+100</f>
        <v>100</v>
      </c>
      <c r="G38" s="3068"/>
      <c r="H38" s="4029">
        <f>SUMIF(114:114,G38,115:115)-SUMIF(114:114,C38,115:115)+100</f>
        <v>100</v>
      </c>
      <c r="I38" s="3068"/>
      <c r="J38" s="4029">
        <f>SUMIF(114:114,I38,115:115)-SUMIF(114:114,C38,115:115)+100</f>
        <v>100</v>
      </c>
      <c r="K38" s="3099"/>
      <c r="L38" s="2153"/>
      <c r="M38" s="2147"/>
      <c r="N38" s="2147"/>
      <c r="O38" s="2147"/>
      <c r="P38" s="4957" t="s">
        <v>1603</v>
      </c>
      <c r="Q38" s="1618" t="str">
        <f t="shared" si="11"/>
        <v>业态</v>
      </c>
      <c r="R38" s="4039" t="s">
        <v>13</v>
      </c>
      <c r="S38" s="3405">
        <f t="shared" si="12"/>
        <v>100</v>
      </c>
      <c r="T38" s="4039" t="s">
        <v>13</v>
      </c>
      <c r="U38" s="3405">
        <f t="shared" si="13"/>
        <v>100</v>
      </c>
      <c r="V38" s="4039" t="s">
        <v>13</v>
      </c>
      <c r="W38" s="3405">
        <f t="shared" si="14"/>
        <v>100</v>
      </c>
      <c r="X38" s="963"/>
      <c r="Y38" s="4878" t="s">
        <v>1603</v>
      </c>
      <c r="Z38" s="964" t="str">
        <f t="shared" si="15"/>
        <v>业态</v>
      </c>
      <c r="AA38" s="961">
        <f t="shared" si="3"/>
        <v>1</v>
      </c>
      <c r="AB38" s="961">
        <f t="shared" si="4"/>
        <v>1</v>
      </c>
      <c r="AC38" s="961">
        <f t="shared" si="5"/>
        <v>1</v>
      </c>
    </row>
    <row r="39" spans="1:29" ht="15">
      <c r="A39" s="286"/>
      <c r="B39" s="3028" t="s">
        <v>1696</v>
      </c>
      <c r="C39" s="3068"/>
      <c r="D39" s="3132">
        <v>100</v>
      </c>
      <c r="E39" s="3068"/>
      <c r="F39" s="4032">
        <f>SUMIF(116:116,E39,117:117)-SUMIF(116:116,C39,117:117)+100</f>
        <v>100</v>
      </c>
      <c r="G39" s="3068"/>
      <c r="H39" s="4029">
        <f>SUMIF(116:116,G39,117:117)-SUMIF(116:116,C39,117:117)+100</f>
        <v>100</v>
      </c>
      <c r="I39" s="3068"/>
      <c r="J39" s="4029">
        <f>SUMIF(116:116,I39,117:117)-SUMIF(116:116,C39,117:117)+100</f>
        <v>100</v>
      </c>
      <c r="K39" s="3099"/>
      <c r="L39" s="2153"/>
      <c r="M39" s="2147"/>
      <c r="N39" s="2147"/>
      <c r="O39" s="2147"/>
      <c r="P39" s="4957"/>
      <c r="Q39" s="1618" t="str">
        <f t="shared" si="11"/>
        <v>层高</v>
      </c>
      <c r="R39" s="4039" t="s">
        <v>13</v>
      </c>
      <c r="S39" s="3405">
        <f t="shared" si="12"/>
        <v>100</v>
      </c>
      <c r="T39" s="4039" t="s">
        <v>13</v>
      </c>
      <c r="U39" s="3405">
        <f t="shared" si="13"/>
        <v>100</v>
      </c>
      <c r="V39" s="4039" t="s">
        <v>13</v>
      </c>
      <c r="W39" s="3405">
        <f t="shared" si="14"/>
        <v>100</v>
      </c>
      <c r="X39" s="963"/>
      <c r="Y39" s="4878"/>
      <c r="Z39" s="964" t="str">
        <f t="shared" si="15"/>
        <v>层高</v>
      </c>
      <c r="AA39" s="961">
        <f t="shared" si="3"/>
        <v>1</v>
      </c>
      <c r="AB39" s="961">
        <f t="shared" si="4"/>
        <v>1</v>
      </c>
      <c r="AC39" s="961">
        <f t="shared" si="5"/>
        <v>1</v>
      </c>
    </row>
    <row r="40" spans="1:29" ht="15">
      <c r="A40" s="286"/>
      <c r="B40" s="3028" t="s">
        <v>1697</v>
      </c>
      <c r="C40" s="3080"/>
      <c r="D40" s="3132">
        <v>100</v>
      </c>
      <c r="E40" s="3091"/>
      <c r="F40" s="4032">
        <f>SUMIF(118:118,E40,119:119)-SUMIF(118:118,C40,119:119)+100</f>
        <v>100</v>
      </c>
      <c r="G40" s="3091"/>
      <c r="H40" s="4029">
        <f>SUMIF(118:118,G40,119:119)-SUMIF(118:118,C40,119:119)+100</f>
        <v>100</v>
      </c>
      <c r="I40" s="3091"/>
      <c r="J40" s="4029">
        <f>SUMIF(118:118,I40,119:119)-SUMIF(118:118,C40,119:119)+100</f>
        <v>100</v>
      </c>
      <c r="K40" s="3100"/>
      <c r="L40" s="2153"/>
      <c r="M40" s="2147"/>
      <c r="N40" s="2147"/>
      <c r="O40" s="2147"/>
      <c r="P40" s="4957"/>
      <c r="Q40" s="1618" t="str">
        <f t="shared" si="11"/>
        <v>单套建筑面积</v>
      </c>
      <c r="R40" s="4039" t="s">
        <v>13</v>
      </c>
      <c r="S40" s="3405">
        <f t="shared" si="12"/>
        <v>100</v>
      </c>
      <c r="T40" s="4039" t="s">
        <v>13</v>
      </c>
      <c r="U40" s="3405">
        <f t="shared" si="13"/>
        <v>100</v>
      </c>
      <c r="V40" s="4039" t="s">
        <v>13</v>
      </c>
      <c r="W40" s="3405">
        <f t="shared" si="14"/>
        <v>100</v>
      </c>
      <c r="X40" s="963"/>
      <c r="Y40" s="4878"/>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2">
        <f>SUMIF(120:120,E41,121:121)-SUMIF(120:120,C41,121:121)+100</f>
        <v>100</v>
      </c>
      <c r="G41" s="3078"/>
      <c r="H41" s="4029">
        <f>SUMIF(120:120,G41,121:121)-SUMIF(120:120,C41,121:121)+100</f>
        <v>100</v>
      </c>
      <c r="I41" s="3078"/>
      <c r="J41" s="4029">
        <f>SUMIF(120:120,I41,121:121)-SUMIF(120:120,C41,121:121)+100</f>
        <v>100</v>
      </c>
      <c r="K41" s="3099"/>
      <c r="L41" s="2152"/>
      <c r="M41" s="2154"/>
      <c r="N41" s="2154"/>
      <c r="O41" s="2154"/>
      <c r="P41" s="4957"/>
      <c r="Q41" s="3106" t="str">
        <f t="shared" si="11"/>
        <v>进深比</v>
      </c>
      <c r="R41" s="4040" t="s">
        <v>13</v>
      </c>
      <c r="S41" s="3406">
        <f t="shared" si="12"/>
        <v>100</v>
      </c>
      <c r="T41" s="4040" t="s">
        <v>13</v>
      </c>
      <c r="U41" s="3406">
        <f t="shared" si="13"/>
        <v>100</v>
      </c>
      <c r="V41" s="4040" t="s">
        <v>13</v>
      </c>
      <c r="W41" s="3406">
        <f t="shared" si="14"/>
        <v>100</v>
      </c>
      <c r="X41" s="507"/>
      <c r="Y41" s="4878"/>
      <c r="Z41" s="508" t="str">
        <f t="shared" si="15"/>
        <v>进深比</v>
      </c>
      <c r="AA41" s="961">
        <f t="shared" si="3"/>
        <v>1</v>
      </c>
      <c r="AB41" s="961">
        <f t="shared" si="4"/>
        <v>1</v>
      </c>
      <c r="AC41" s="961">
        <f t="shared" si="5"/>
        <v>1</v>
      </c>
    </row>
    <row r="42" spans="1:29" ht="15">
      <c r="A42" s="286"/>
      <c r="B42" s="3028" t="s">
        <v>1699</v>
      </c>
      <c r="C42" s="3068"/>
      <c r="D42" s="3132">
        <v>100</v>
      </c>
      <c r="E42" s="3068"/>
      <c r="F42" s="4032">
        <f>SUMIF(122:122,E42,123:123)-SUMIF(122:122,C42,123:123)+100</f>
        <v>100</v>
      </c>
      <c r="G42" s="3068"/>
      <c r="H42" s="4029">
        <f>SUMIF(122:122,G42,123:123)-SUMIF(122:122,C42,123:123)+100</f>
        <v>100</v>
      </c>
      <c r="I42" s="3068"/>
      <c r="J42" s="4029">
        <f>SUMIF(122:122,I42,123:123)-SUMIF(122:122,C42,123:123)+100</f>
        <v>100</v>
      </c>
      <c r="K42" s="3099"/>
      <c r="L42" s="2153"/>
      <c r="M42" s="2147"/>
      <c r="N42" s="2147"/>
      <c r="O42" s="2147"/>
      <c r="P42" s="4957"/>
      <c r="Q42" s="1618" t="str">
        <f t="shared" si="11"/>
        <v>内部装修</v>
      </c>
      <c r="R42" s="4039" t="s">
        <v>13</v>
      </c>
      <c r="S42" s="3405">
        <f t="shared" si="12"/>
        <v>100</v>
      </c>
      <c r="T42" s="4039" t="s">
        <v>13</v>
      </c>
      <c r="U42" s="3405">
        <f t="shared" si="13"/>
        <v>100</v>
      </c>
      <c r="V42" s="4039" t="s">
        <v>13</v>
      </c>
      <c r="W42" s="3405">
        <f t="shared" si="14"/>
        <v>100</v>
      </c>
      <c r="X42" s="963"/>
      <c r="Y42" s="4878"/>
      <c r="Z42" s="964" t="str">
        <f t="shared" si="15"/>
        <v>内部装修</v>
      </c>
      <c r="AA42" s="961">
        <f t="shared" si="3"/>
        <v>1</v>
      </c>
      <c r="AB42" s="961">
        <f t="shared" si="4"/>
        <v>1</v>
      </c>
      <c r="AC42" s="961">
        <f t="shared" si="5"/>
        <v>1</v>
      </c>
    </row>
    <row r="43" spans="1:29" ht="28.8">
      <c r="A43" s="286"/>
      <c r="B43" s="3028" t="s">
        <v>1614</v>
      </c>
      <c r="C43" s="3068"/>
      <c r="D43" s="3132">
        <v>100</v>
      </c>
      <c r="E43" s="3068"/>
      <c r="F43" s="4032">
        <f>SUMIF(124:124,E43,125:125)-SUMIF(124:124,C43,125:125)+100</f>
        <v>100</v>
      </c>
      <c r="G43" s="3068"/>
      <c r="H43" s="4029">
        <f>SUMIF(124:124,G43,125:125)-SUMIF(124:124,C43,125:125)+100</f>
        <v>100</v>
      </c>
      <c r="I43" s="3068"/>
      <c r="J43" s="4029">
        <f>SUMIF(124:124,I43,125:125)-SUMIF(124:124,C43,125:125)+100</f>
        <v>100</v>
      </c>
      <c r="K43" s="3099"/>
      <c r="L43" s="2153"/>
      <c r="M43" s="2147"/>
      <c r="N43" s="2147"/>
      <c r="O43" s="2147"/>
      <c r="P43" s="4957"/>
      <c r="Q43" s="1618" t="str">
        <f t="shared" si="11"/>
        <v>内部装修维护情况</v>
      </c>
      <c r="R43" s="4039" t="s">
        <v>13</v>
      </c>
      <c r="S43" s="3405">
        <f t="shared" si="12"/>
        <v>100</v>
      </c>
      <c r="T43" s="4039" t="s">
        <v>13</v>
      </c>
      <c r="U43" s="3405">
        <f t="shared" si="13"/>
        <v>100</v>
      </c>
      <c r="V43" s="4039" t="s">
        <v>13</v>
      </c>
      <c r="W43" s="3405">
        <f t="shared" si="14"/>
        <v>100</v>
      </c>
      <c r="X43" s="963"/>
      <c r="Y43" s="4878"/>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3">
        <f>SUMIF(126:126,E44,127:127)-SUMIF(126:126,C44,127:127)+100</f>
        <v>100</v>
      </c>
      <c r="G44" s="3058"/>
      <c r="H44" s="4035">
        <f>SUMIF(126:126,G44,127:127)-SUMIF(126:126,C44,127:127)+100</f>
        <v>100</v>
      </c>
      <c r="I44" s="3058"/>
      <c r="J44" s="4035">
        <f>SUMIF(126:126,I44,127:127)-SUMIF(126:126,C44,127:127)+100</f>
        <v>100</v>
      </c>
      <c r="K44" s="3100"/>
      <c r="L44" s="2148"/>
      <c r="M44" s="2149"/>
      <c r="N44" s="2149"/>
      <c r="O44" s="2149"/>
      <c r="P44" s="4957"/>
      <c r="Q44" s="3026">
        <f t="shared" si="11"/>
        <v>111</v>
      </c>
      <c r="R44" s="3918" t="s">
        <v>13</v>
      </c>
      <c r="S44" s="3404">
        <f t="shared" si="12"/>
        <v>100</v>
      </c>
      <c r="T44" s="3918" t="s">
        <v>13</v>
      </c>
      <c r="U44" s="3404">
        <f t="shared" si="13"/>
        <v>100</v>
      </c>
      <c r="V44" s="3918" t="s">
        <v>13</v>
      </c>
      <c r="W44" s="3404">
        <f t="shared" si="14"/>
        <v>100</v>
      </c>
      <c r="X44" s="504"/>
      <c r="Y44" s="4878"/>
      <c r="Z44" s="28">
        <f t="shared" si="15"/>
        <v>111</v>
      </c>
      <c r="AA44" s="505">
        <f t="shared" si="3"/>
        <v>1</v>
      </c>
      <c r="AB44" s="505">
        <f t="shared" si="4"/>
        <v>1</v>
      </c>
      <c r="AC44" s="505">
        <f t="shared" si="5"/>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100"/>
      <c r="L45" s="2153"/>
      <c r="M45" s="2147"/>
      <c r="N45" s="2147"/>
      <c r="O45" s="2147"/>
      <c r="P45" s="4957"/>
      <c r="Q45" s="1618">
        <f t="shared" si="11"/>
        <v>111</v>
      </c>
      <c r="R45" s="4039" t="s">
        <v>13</v>
      </c>
      <c r="S45" s="3405">
        <f t="shared" si="12"/>
        <v>100</v>
      </c>
      <c r="T45" s="4039" t="s">
        <v>13</v>
      </c>
      <c r="U45" s="3405">
        <f t="shared" si="13"/>
        <v>100</v>
      </c>
      <c r="V45" s="4039" t="s">
        <v>13</v>
      </c>
      <c r="W45" s="3405">
        <f t="shared" si="14"/>
        <v>100</v>
      </c>
      <c r="X45" s="963"/>
      <c r="Y45" s="4878"/>
      <c r="Z45" s="964">
        <f t="shared" si="15"/>
        <v>111</v>
      </c>
      <c r="AA45" s="961">
        <f t="shared" si="3"/>
        <v>1</v>
      </c>
      <c r="AB45" s="961">
        <f t="shared" si="4"/>
        <v>1</v>
      </c>
      <c r="AC45" s="961">
        <f t="shared" si="5"/>
        <v>1</v>
      </c>
    </row>
    <row r="46" spans="1:29" ht="15.6" thickBot="1">
      <c r="A46" s="291"/>
      <c r="B46" s="3035">
        <v>111</v>
      </c>
      <c r="C46" s="3059"/>
      <c r="D46" s="3133">
        <v>100</v>
      </c>
      <c r="E46" s="3058"/>
      <c r="F46" s="4024">
        <f>SUMIF(130:130,E46,131:131)-SUMIF(130:130,C46,131:131)+100</f>
        <v>100</v>
      </c>
      <c r="G46" s="3058"/>
      <c r="H46" s="4031">
        <f>SUMIF(130:130,G46,131:131)-SUMIF(130:130,C46,131:131)+100</f>
        <v>100</v>
      </c>
      <c r="I46" s="3058"/>
      <c r="J46" s="4031">
        <f>SUMIF(130:130,I46,131:131)-SUMIF(130:130,C46,131:131)+100</f>
        <v>100</v>
      </c>
      <c r="K46" s="3100"/>
      <c r="L46" s="2153"/>
      <c r="M46" s="2147"/>
      <c r="N46" s="2147"/>
      <c r="O46" s="2147"/>
      <c r="P46" s="4958"/>
      <c r="Q46" s="1618">
        <f t="shared" si="11"/>
        <v>111</v>
      </c>
      <c r="R46" s="4039" t="s">
        <v>13</v>
      </c>
      <c r="S46" s="3405">
        <f t="shared" si="12"/>
        <v>100</v>
      </c>
      <c r="T46" s="4039" t="s">
        <v>13</v>
      </c>
      <c r="U46" s="3405">
        <f t="shared" si="13"/>
        <v>100</v>
      </c>
      <c r="V46" s="4039" t="s">
        <v>13</v>
      </c>
      <c r="W46" s="3405">
        <f t="shared" si="14"/>
        <v>100</v>
      </c>
      <c r="X46" s="963"/>
      <c r="Y46" s="4959"/>
      <c r="Z46" s="964">
        <f t="shared" si="15"/>
        <v>111</v>
      </c>
      <c r="AA46" s="961">
        <f t="shared" si="3"/>
        <v>1</v>
      </c>
      <c r="AB46" s="961">
        <f t="shared" si="4"/>
        <v>1</v>
      </c>
      <c r="AC46" s="961">
        <f t="shared" si="5"/>
        <v>1</v>
      </c>
    </row>
    <row r="47" spans="1:29" ht="14.4">
      <c r="A47" s="292" t="s">
        <v>1615</v>
      </c>
      <c r="B47" s="293"/>
      <c r="C47" s="808" t="s">
        <v>0</v>
      </c>
      <c r="D47" s="809"/>
      <c r="E47" s="3457"/>
      <c r="F47" s="3459"/>
      <c r="G47" s="3458"/>
      <c r="H47" s="3460"/>
      <c r="I47" s="3457"/>
      <c r="J47" s="3460"/>
      <c r="K47" s="3104"/>
      <c r="L47" s="2155"/>
      <c r="M47" s="2156"/>
      <c r="N47" s="2147"/>
      <c r="O47" s="2156"/>
      <c r="P47" s="4954" t="str">
        <f>A47</f>
        <v>成交单价（元/平方米）</v>
      </c>
      <c r="Q47" s="4954"/>
      <c r="R47" s="4955">
        <f>E47</f>
        <v>0</v>
      </c>
      <c r="S47" s="4955"/>
      <c r="T47" s="4955">
        <f>G47</f>
        <v>0</v>
      </c>
      <c r="U47" s="4955"/>
      <c r="V47" s="4955">
        <f>I47</f>
        <v>0</v>
      </c>
      <c r="W47" s="4955"/>
      <c r="X47" s="493"/>
      <c r="Y47" s="509"/>
      <c r="Z47" s="493"/>
      <c r="AA47" s="493"/>
      <c r="AB47" s="493"/>
      <c r="AC47" s="493"/>
    </row>
    <row r="48" spans="1:29" ht="15" thickBot="1">
      <c r="A48" s="295" t="s">
        <v>1700</v>
      </c>
      <c r="B48" s="296"/>
      <c r="C48" s="4037" t="e">
        <f>R49</f>
        <v>#DIV/0!</v>
      </c>
      <c r="D48" s="4194" t="s">
        <v>2040</v>
      </c>
      <c r="E48" s="4048" t="e">
        <f>R48</f>
        <v>#DIV/0!</v>
      </c>
      <c r="F48" s="3042"/>
      <c r="G48" s="4037" t="e">
        <f>T48</f>
        <v>#DIV/0!</v>
      </c>
      <c r="H48" s="3042"/>
      <c r="I48" s="4048" t="e">
        <f>V48</f>
        <v>#DIV/0!</v>
      </c>
      <c r="J48" s="3042"/>
      <c r="K48" s="3097">
        <f>F48+H48+J48</f>
        <v>0</v>
      </c>
      <c r="L48" s="2155"/>
      <c r="M48" s="2156"/>
      <c r="N48" s="2147"/>
      <c r="O48" s="2156"/>
      <c r="P48" s="4954" t="str">
        <f>A48</f>
        <v>比较价值（元/平方米）</v>
      </c>
      <c r="Q48" s="4954"/>
      <c r="R48" s="4955" t="e">
        <f>IF(F1="售价",ROUND(PRODUCT(R47,AA7:AA46),0),ROUND(PRODUCT(R47,AA7:AA46),1))</f>
        <v>#DIV/0!</v>
      </c>
      <c r="S48" s="4955"/>
      <c r="T48" s="4955" t="e">
        <f>IF(F1="售价",ROUND(PRODUCT(T47,AB7:AB46),0),ROUND(PRODUCT(T47,AB7:AB46),1))</f>
        <v>#DIV/0!</v>
      </c>
      <c r="U48" s="4955"/>
      <c r="V48" s="4955" t="e">
        <f>IF(F1="售价",ROUND(PRODUCT(V47,AC7:AC46),0),ROUND(PRODUCT(V47,AC7:AC46),1))</f>
        <v>#DIV/0!</v>
      </c>
      <c r="W48" s="4955"/>
      <c r="X48" s="493"/>
      <c r="Y48" s="493"/>
      <c r="Z48" s="493"/>
      <c r="AA48" s="493"/>
      <c r="AB48" s="493"/>
      <c r="AC48" s="493"/>
    </row>
    <row r="49" spans="1:29" ht="15" thickBot="1">
      <c r="A49" s="297" t="s">
        <v>1701</v>
      </c>
      <c r="B49" s="298"/>
      <c r="C49" s="4049" t="e">
        <f>R49</f>
        <v>#DIV/0!</v>
      </c>
      <c r="D49" s="812"/>
      <c r="E49" s="812"/>
      <c r="F49" s="812"/>
      <c r="G49" s="812"/>
      <c r="H49" s="812"/>
      <c r="I49" s="812"/>
      <c r="J49" s="812"/>
      <c r="K49" s="511"/>
      <c r="L49" s="2155"/>
      <c r="M49" s="2156"/>
      <c r="N49" s="2147"/>
      <c r="O49" s="2156"/>
      <c r="P49" s="4951" t="str">
        <f>A49</f>
        <v>估价对象XX用房的比较价值（楼面单价，元/平方米）</v>
      </c>
      <c r="Q49" s="4952"/>
      <c r="R49" s="4953" t="e">
        <f>IF(F1="售价",ROUND(IF(D48="简单平均",AVERAGE(R48:V48),R48*F48+T48*H48+V48*J48),0),ROUND(IF(D48="简单平均",AVERAGE(R48:V48),R48*F48+T48*H48+V48*J48),1))</f>
        <v>#DIV/0!</v>
      </c>
      <c r="S49" s="4953"/>
      <c r="T49" s="4953"/>
      <c r="U49" s="4953"/>
      <c r="V49" s="4953"/>
      <c r="W49" s="4953"/>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3872</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1676</v>
      </c>
      <c r="B4" s="242"/>
      <c r="C4" s="4883" t="s">
        <v>1677</v>
      </c>
      <c r="D4" s="4884"/>
      <c r="E4" s="4885" t="s">
        <v>1678</v>
      </c>
      <c r="F4" s="4886"/>
      <c r="G4" s="4883" t="s">
        <v>1679</v>
      </c>
      <c r="H4" s="4884"/>
      <c r="I4" s="4883" t="s">
        <v>1680</v>
      </c>
      <c r="J4" s="4884"/>
      <c r="K4" s="406" t="s">
        <v>1681</v>
      </c>
      <c r="L4" s="2146"/>
      <c r="M4" s="2147"/>
      <c r="N4" s="2147"/>
      <c r="O4" s="2147"/>
      <c r="P4" s="4997" t="s">
        <v>1682</v>
      </c>
      <c r="Q4" s="4998"/>
      <c r="R4" s="5001" t="s">
        <v>1678</v>
      </c>
      <c r="S4" s="5002"/>
      <c r="T4" s="5001" t="s">
        <v>1679</v>
      </c>
      <c r="U4" s="5002"/>
      <c r="V4" s="5003" t="s">
        <v>1680</v>
      </c>
      <c r="W4" s="5003"/>
      <c r="X4" s="1517"/>
      <c r="Y4" s="5006" t="s">
        <v>1682</v>
      </c>
      <c r="Z4" s="5007"/>
      <c r="AA4" s="5009" t="s">
        <v>1678</v>
      </c>
      <c r="AB4" s="5009" t="s">
        <v>1679</v>
      </c>
      <c r="AC4" s="4994" t="s">
        <v>1680</v>
      </c>
    </row>
    <row r="5" spans="1:29">
      <c r="A5" s="244"/>
      <c r="B5" s="245"/>
      <c r="C5" s="5004" t="s">
        <v>1580</v>
      </c>
      <c r="D5" s="4902"/>
      <c r="E5" s="5010" t="s">
        <v>1581</v>
      </c>
      <c r="F5" s="4910"/>
      <c r="G5" s="5004" t="s">
        <v>1582</v>
      </c>
      <c r="H5" s="4902"/>
      <c r="I5" s="5004" t="s">
        <v>1583</v>
      </c>
      <c r="J5" s="4902"/>
      <c r="K5" s="406"/>
      <c r="L5" s="2146"/>
      <c r="M5" s="2147"/>
      <c r="N5" s="2147"/>
      <c r="O5" s="2147"/>
      <c r="P5" s="4999"/>
      <c r="Q5" s="4970"/>
      <c r="R5" s="4975"/>
      <c r="S5" s="4976"/>
      <c r="T5" s="4975"/>
      <c r="U5" s="4976"/>
      <c r="V5" s="4979"/>
      <c r="W5" s="4979"/>
      <c r="X5" s="963"/>
      <c r="Y5" s="4895"/>
      <c r="Z5" s="4896"/>
      <c r="AA5" s="4881"/>
      <c r="AB5" s="4881"/>
      <c r="AC5" s="4995"/>
    </row>
    <row r="6" spans="1:29" ht="15" thickBot="1">
      <c r="A6" s="246"/>
      <c r="B6" s="247"/>
      <c r="C6" s="4899" t="s">
        <v>1584</v>
      </c>
      <c r="D6" s="4900"/>
      <c r="E6" s="5008" t="s">
        <v>1584</v>
      </c>
      <c r="F6" s="4908"/>
      <c r="G6" s="4899" t="s">
        <v>1584</v>
      </c>
      <c r="H6" s="4900"/>
      <c r="I6" s="4899" t="s">
        <v>1584</v>
      </c>
      <c r="J6" s="4900"/>
      <c r="K6" s="406" t="s">
        <v>1585</v>
      </c>
      <c r="L6" s="2146"/>
      <c r="M6" s="2147"/>
      <c r="N6" s="2147"/>
      <c r="O6" s="2147"/>
      <c r="P6" s="5000"/>
      <c r="Q6" s="4972"/>
      <c r="R6" s="4975"/>
      <c r="S6" s="4976"/>
      <c r="T6" s="4977"/>
      <c r="U6" s="4978"/>
      <c r="V6" s="4979"/>
      <c r="W6" s="4979"/>
      <c r="X6" s="963"/>
      <c r="Y6" s="4897"/>
      <c r="Z6" s="4898"/>
      <c r="AA6" s="4882"/>
      <c r="AB6" s="4882"/>
      <c r="AC6" s="4996"/>
    </row>
    <row r="7" spans="1:29" s="49" customFormat="1" ht="15" thickBot="1">
      <c r="A7" s="248" t="s">
        <v>1586</v>
      </c>
      <c r="B7" s="249"/>
      <c r="C7" s="250">
        <f>'数据-取费表'!B2</f>
        <v>46093</v>
      </c>
      <c r="D7" s="3140">
        <v>100</v>
      </c>
      <c r="E7" s="251"/>
      <c r="F7" s="4052">
        <f>SUMIF(59:59,YEAR(E7)&amp;"-"&amp;MONTH(E7),60:60)</f>
        <v>0</v>
      </c>
      <c r="G7" s="251"/>
      <c r="H7" s="4063">
        <f>SUMIF(59:59,YEAR(G7)&amp;"-"&amp;MONTH(G7),60:60)</f>
        <v>0</v>
      </c>
      <c r="I7" s="251"/>
      <c r="J7" s="4063">
        <f>SUMIF(59:59,YEAR(I7)&amp;"-"&amp;MONTH(I7),60:60)</f>
        <v>0</v>
      </c>
      <c r="K7" s="407"/>
      <c r="L7" s="2148"/>
      <c r="M7" s="2149"/>
      <c r="N7" s="2149"/>
      <c r="O7" s="2149"/>
      <c r="P7" s="5005" t="s">
        <v>1587</v>
      </c>
      <c r="Q7" s="4986"/>
      <c r="R7" s="3918" t="s">
        <v>13</v>
      </c>
      <c r="S7" s="3404">
        <f t="shared" ref="S7:S15" si="0">F7</f>
        <v>0</v>
      </c>
      <c r="T7" s="3918" t="s">
        <v>13</v>
      </c>
      <c r="U7" s="3404">
        <f t="shared" ref="U7:U15" si="1">H7</f>
        <v>0</v>
      </c>
      <c r="V7" s="3918" t="s">
        <v>13</v>
      </c>
      <c r="W7" s="3404">
        <f t="shared" ref="W7:W15" si="2">J7</f>
        <v>0</v>
      </c>
      <c r="X7" s="504"/>
      <c r="Y7" s="4903" t="s">
        <v>1587</v>
      </c>
      <c r="Z7" s="4904"/>
      <c r="AA7" s="505" t="e">
        <f>D7/F7</f>
        <v>#DIV/0!</v>
      </c>
      <c r="AB7" s="505" t="e">
        <f>D7/H7</f>
        <v>#DIV/0!</v>
      </c>
      <c r="AC7" s="1518" t="e">
        <f>D7/J7</f>
        <v>#DIV/0!</v>
      </c>
    </row>
    <row r="8" spans="1:29" s="49" customFormat="1" ht="15" thickBot="1">
      <c r="A8" s="248" t="s">
        <v>1588</v>
      </c>
      <c r="B8" s="249"/>
      <c r="C8" s="252"/>
      <c r="D8" s="3140">
        <v>100</v>
      </c>
      <c r="E8" s="252"/>
      <c r="F8" s="4052">
        <f>SUMIF(62:62,E8,63:63)-SUMIF(62:62,C8,63:63)+100</f>
        <v>100</v>
      </c>
      <c r="G8" s="252"/>
      <c r="H8" s="4063">
        <f>SUMIF(62:62,G8,63:63)-SUMIF(62:62,C8,63:63)+100</f>
        <v>100</v>
      </c>
      <c r="I8" s="252"/>
      <c r="J8" s="4063">
        <f>SUMIF(62:62,I8,63:63)-SUMIF(62:62,C8,63:63)+100</f>
        <v>100</v>
      </c>
      <c r="K8" s="407"/>
      <c r="L8" s="2148"/>
      <c r="M8" s="2149"/>
      <c r="N8" s="2149"/>
      <c r="O8" s="2149"/>
      <c r="P8" s="5005" t="s">
        <v>1590</v>
      </c>
      <c r="Q8" s="4985"/>
      <c r="R8" s="3918" t="s">
        <v>13</v>
      </c>
      <c r="S8" s="3404">
        <f t="shared" si="0"/>
        <v>100</v>
      </c>
      <c r="T8" s="3918" t="s">
        <v>13</v>
      </c>
      <c r="U8" s="3404">
        <f t="shared" si="1"/>
        <v>100</v>
      </c>
      <c r="V8" s="3918" t="s">
        <v>13</v>
      </c>
      <c r="W8" s="3404">
        <f t="shared" si="2"/>
        <v>100</v>
      </c>
      <c r="X8" s="504"/>
      <c r="Y8" s="4903" t="s">
        <v>1590</v>
      </c>
      <c r="Z8" s="4904"/>
      <c r="AA8" s="505">
        <f t="shared" ref="AA8:AA47" si="3">D8/F8</f>
        <v>1</v>
      </c>
      <c r="AB8" s="505">
        <f t="shared" ref="AB8:AB47" si="4">D8/H8</f>
        <v>1</v>
      </c>
      <c r="AC8" s="1518">
        <f t="shared" ref="AC8:AC47" si="5">D8/J8</f>
        <v>1</v>
      </c>
    </row>
    <row r="9" spans="1:29" s="49" customFormat="1" ht="14.4">
      <c r="A9" s="253" t="s">
        <v>1591</v>
      </c>
      <c r="B9" s="34" t="s">
        <v>1592</v>
      </c>
      <c r="C9" s="254"/>
      <c r="D9" s="3141">
        <v>100</v>
      </c>
      <c r="E9" s="256"/>
      <c r="F9" s="4053">
        <f>SUMIF(64:64,E9,65:65)-SUMIF(64:64,C9,65:65)+100</f>
        <v>100</v>
      </c>
      <c r="G9" s="255"/>
      <c r="H9" s="4053">
        <f>SUMIF(64:64,G9,65:65)-SUMIF(64:64,C9,65:65)+100</f>
        <v>100</v>
      </c>
      <c r="I9" s="255"/>
      <c r="J9" s="4053">
        <f>SUMIF(64:64,I9,65:65)-SUMIF(64:64,C9,65:65)+100</f>
        <v>100</v>
      </c>
      <c r="K9" s="407"/>
      <c r="L9" s="2148"/>
      <c r="M9" s="2149"/>
      <c r="N9" s="2149"/>
      <c r="O9" s="2149"/>
      <c r="P9" s="4962" t="s">
        <v>1593</v>
      </c>
      <c r="Q9" s="3273" t="str">
        <f t="shared" ref="Q9:Q15" si="6">B9</f>
        <v>用途</v>
      </c>
      <c r="R9" s="3918" t="s">
        <v>13</v>
      </c>
      <c r="S9" s="3404">
        <f t="shared" si="0"/>
        <v>100</v>
      </c>
      <c r="T9" s="3918" t="s">
        <v>13</v>
      </c>
      <c r="U9" s="3404">
        <f t="shared" si="1"/>
        <v>100</v>
      </c>
      <c r="V9" s="3918" t="s">
        <v>13</v>
      </c>
      <c r="W9" s="3404">
        <f t="shared" si="2"/>
        <v>100</v>
      </c>
      <c r="X9" s="504"/>
      <c r="Y9" s="4879" t="s">
        <v>1594</v>
      </c>
      <c r="Z9" s="28" t="str">
        <f t="shared" ref="Z9:Z15" si="7">Q9</f>
        <v>用途</v>
      </c>
      <c r="AA9" s="505">
        <f t="shared" si="3"/>
        <v>1</v>
      </c>
      <c r="AB9" s="505">
        <f t="shared" si="4"/>
        <v>1</v>
      </c>
      <c r="AC9" s="1518">
        <f t="shared" si="5"/>
        <v>1</v>
      </c>
    </row>
    <row r="10" spans="1:29" s="259" customFormat="1" ht="28.8">
      <c r="A10" s="257"/>
      <c r="B10" s="258" t="s">
        <v>1595</v>
      </c>
      <c r="C10" s="2705"/>
      <c r="D10" s="3142">
        <v>100</v>
      </c>
      <c r="E10" s="2705"/>
      <c r="F10" s="4054">
        <f>SUMIF(66:66,E10,67:67)-SUMIF(66:66,C10,67:67)+100</f>
        <v>100</v>
      </c>
      <c r="G10" s="2706"/>
      <c r="H10" s="4054">
        <f>SUMIF(66:66,G10,67:67)-SUMIF(66:66,C10,67:67)+100</f>
        <v>100</v>
      </c>
      <c r="I10" s="2705"/>
      <c r="J10" s="4054">
        <f>SUMIF(66:66,I10,67:67)-SUMIF(66:66,C10,67:67)+100</f>
        <v>100</v>
      </c>
      <c r="K10" s="407"/>
      <c r="L10" s="2150"/>
      <c r="M10" s="2151"/>
      <c r="N10" s="2151"/>
      <c r="O10" s="2151"/>
      <c r="P10" s="4962"/>
      <c r="Q10" s="3273" t="str">
        <f t="shared" si="6"/>
        <v>土地使用年限（年）</v>
      </c>
      <c r="R10" s="3918" t="s">
        <v>13</v>
      </c>
      <c r="S10" s="3404">
        <f t="shared" si="0"/>
        <v>100</v>
      </c>
      <c r="T10" s="3918" t="s">
        <v>13</v>
      </c>
      <c r="U10" s="3404">
        <f t="shared" si="1"/>
        <v>100</v>
      </c>
      <c r="V10" s="3918" t="s">
        <v>13</v>
      </c>
      <c r="W10" s="3404">
        <f t="shared" si="2"/>
        <v>100</v>
      </c>
      <c r="X10" s="504"/>
      <c r="Y10" s="4879"/>
      <c r="Z10" s="28" t="str">
        <f t="shared" si="7"/>
        <v>土地使用年限（年）</v>
      </c>
      <c r="AA10" s="505">
        <f t="shared" si="3"/>
        <v>1</v>
      </c>
      <c r="AB10" s="505">
        <f t="shared" si="4"/>
        <v>1</v>
      </c>
      <c r="AC10" s="1518">
        <f t="shared" si="5"/>
        <v>1</v>
      </c>
    </row>
    <row r="11" spans="1:29" ht="15">
      <c r="A11" s="260"/>
      <c r="B11" s="258" t="s">
        <v>1596</v>
      </c>
      <c r="C11" s="261"/>
      <c r="D11" s="3142">
        <v>100</v>
      </c>
      <c r="E11" s="261"/>
      <c r="F11" s="4054">
        <f>LOOKUP(E11,69:69,70:70)-LOOKUP(C11,69:69,70:70)+100</f>
        <v>100</v>
      </c>
      <c r="G11" s="262"/>
      <c r="H11" s="4054">
        <f>LOOKUP(G11,69:69,70:70)-LOOKUP(C11,69:69,70:70)+100</f>
        <v>100</v>
      </c>
      <c r="I11" s="261"/>
      <c r="J11" s="4054">
        <f>LOOKUP(I11,69:69,70:70)-LOOKUP(C11,69:69,70:70)+100</f>
        <v>100</v>
      </c>
      <c r="K11" s="408"/>
      <c r="L11" s="2152"/>
      <c r="M11" s="2147"/>
      <c r="N11" s="2147"/>
      <c r="O11" s="2147"/>
      <c r="P11" s="4962"/>
      <c r="Q11" s="3273" t="str">
        <f t="shared" si="6"/>
        <v>容积率</v>
      </c>
      <c r="R11" s="3918" t="s">
        <v>13</v>
      </c>
      <c r="S11" s="3404">
        <f t="shared" si="0"/>
        <v>100</v>
      </c>
      <c r="T11" s="3918" t="s">
        <v>13</v>
      </c>
      <c r="U11" s="3404">
        <f t="shared" si="1"/>
        <v>100</v>
      </c>
      <c r="V11" s="3918" t="s">
        <v>13</v>
      </c>
      <c r="W11" s="3404">
        <f t="shared" si="2"/>
        <v>100</v>
      </c>
      <c r="X11" s="504"/>
      <c r="Y11" s="4879"/>
      <c r="Z11" s="28" t="str">
        <f t="shared" si="7"/>
        <v>容积率</v>
      </c>
      <c r="AA11" s="505">
        <f t="shared" si="3"/>
        <v>1</v>
      </c>
      <c r="AB11" s="505">
        <f t="shared" si="4"/>
        <v>1</v>
      </c>
      <c r="AC11" s="1518">
        <f t="shared" si="5"/>
        <v>1</v>
      </c>
    </row>
    <row r="12" spans="1:29" s="49" customFormat="1" ht="15">
      <c r="A12" s="263"/>
      <c r="B12" s="1462">
        <v>111</v>
      </c>
      <c r="C12" s="264"/>
      <c r="D12" s="3143">
        <v>100</v>
      </c>
      <c r="E12" s="264"/>
      <c r="F12" s="4054">
        <f>SUMIF(71:71,E12,72:72)-SUMIF(71:71,C12,72:72)+100</f>
        <v>100</v>
      </c>
      <c r="G12" s="1519"/>
      <c r="H12" s="4054">
        <f>SUMIF(71:71,G12,72:72)-SUMIF(71:71,C12,72:72)+100</f>
        <v>100</v>
      </c>
      <c r="I12" s="264"/>
      <c r="J12" s="4054">
        <f>SUMIF(71:71,I12,72:72)-SUMIF(71:71,C12,72:72)+100</f>
        <v>100</v>
      </c>
      <c r="K12" s="409"/>
      <c r="L12" s="2148"/>
      <c r="M12" s="2149"/>
      <c r="N12" s="2149"/>
      <c r="O12" s="2149"/>
      <c r="P12" s="4962"/>
      <c r="Q12" s="3273">
        <f t="shared" si="6"/>
        <v>111</v>
      </c>
      <c r="R12" s="3918" t="s">
        <v>13</v>
      </c>
      <c r="S12" s="3404">
        <f t="shared" si="0"/>
        <v>100</v>
      </c>
      <c r="T12" s="3918" t="s">
        <v>13</v>
      </c>
      <c r="U12" s="3404">
        <f t="shared" si="1"/>
        <v>100</v>
      </c>
      <c r="V12" s="3918" t="s">
        <v>13</v>
      </c>
      <c r="W12" s="3404">
        <f t="shared" si="2"/>
        <v>100</v>
      </c>
      <c r="X12" s="504"/>
      <c r="Y12" s="4879"/>
      <c r="Z12" s="28">
        <f t="shared" si="7"/>
        <v>111</v>
      </c>
      <c r="AA12" s="505">
        <f>D12/F12</f>
        <v>1</v>
      </c>
      <c r="AB12" s="505">
        <f>D12/H12</f>
        <v>1</v>
      </c>
      <c r="AC12" s="1518">
        <f>D12/J12</f>
        <v>1</v>
      </c>
    </row>
    <row r="13" spans="1:29" ht="15">
      <c r="A13" s="260"/>
      <c r="B13" s="1462">
        <v>111</v>
      </c>
      <c r="C13" s="265"/>
      <c r="D13" s="3144">
        <v>100</v>
      </c>
      <c r="E13" s="264"/>
      <c r="F13" s="4054">
        <f>SUMIF(73:73,E13,74:74)-SUMIF(73:73,C13,74:74)+100</f>
        <v>100</v>
      </c>
      <c r="G13" s="1519"/>
      <c r="H13" s="4058">
        <f>SUMIF(73:73,G13,74:74)-SUMIF(73:73,C13,74:74)+100</f>
        <v>100</v>
      </c>
      <c r="I13" s="264"/>
      <c r="J13" s="4058">
        <f>SUMIF(73:73,I13,74:74)-SUMIF(73:73,C13,74:74)+100</f>
        <v>100</v>
      </c>
      <c r="K13" s="409"/>
      <c r="L13" s="2153"/>
      <c r="M13" s="2147"/>
      <c r="N13" s="2147"/>
      <c r="O13" s="2147"/>
      <c r="P13" s="4962"/>
      <c r="Q13" s="3273">
        <f t="shared" si="6"/>
        <v>111</v>
      </c>
      <c r="R13" s="3918" t="s">
        <v>13</v>
      </c>
      <c r="S13" s="3404">
        <f t="shared" si="0"/>
        <v>100</v>
      </c>
      <c r="T13" s="3918" t="s">
        <v>13</v>
      </c>
      <c r="U13" s="3404">
        <f t="shared" si="1"/>
        <v>100</v>
      </c>
      <c r="V13" s="3918" t="s">
        <v>13</v>
      </c>
      <c r="W13" s="3404">
        <f t="shared" si="2"/>
        <v>100</v>
      </c>
      <c r="X13" s="504"/>
      <c r="Y13" s="4879"/>
      <c r="Z13" s="28">
        <f t="shared" si="7"/>
        <v>111</v>
      </c>
      <c r="AA13" s="505">
        <f t="shared" si="3"/>
        <v>1</v>
      </c>
      <c r="AB13" s="505">
        <f t="shared" si="4"/>
        <v>1</v>
      </c>
      <c r="AC13" s="1518">
        <f t="shared" si="5"/>
        <v>1</v>
      </c>
    </row>
    <row r="14" spans="1:29" ht="15.6" thickBot="1">
      <c r="A14" s="266"/>
      <c r="B14" s="1463">
        <v>111</v>
      </c>
      <c r="C14" s="267"/>
      <c r="D14" s="3145">
        <v>100</v>
      </c>
      <c r="E14" s="416"/>
      <c r="F14" s="4055">
        <f>SUMIF(75:75,E14,76:76)-SUMIF(75:75,C14,76:76)+100</f>
        <v>100</v>
      </c>
      <c r="G14" s="1519"/>
      <c r="H14" s="4055">
        <f>SUMIF(75:75,G14,76:76)-SUMIF(75:75,C14,76:76)+100</f>
        <v>100</v>
      </c>
      <c r="I14" s="264"/>
      <c r="J14" s="4055">
        <f>SUMIF(75:75,I14,76:76)-SUMIF(75:75,C14,76:76)+100</f>
        <v>100</v>
      </c>
      <c r="K14" s="409"/>
      <c r="L14" s="2153"/>
      <c r="M14" s="2147"/>
      <c r="N14" s="2147"/>
      <c r="O14" s="2147"/>
      <c r="P14" s="4962"/>
      <c r="Q14" s="3273">
        <f t="shared" si="6"/>
        <v>111</v>
      </c>
      <c r="R14" s="3918" t="s">
        <v>13</v>
      </c>
      <c r="S14" s="3404">
        <f t="shared" si="0"/>
        <v>100</v>
      </c>
      <c r="T14" s="3918" t="s">
        <v>13</v>
      </c>
      <c r="U14" s="3404">
        <f t="shared" si="1"/>
        <v>100</v>
      </c>
      <c r="V14" s="3918" t="s">
        <v>13</v>
      </c>
      <c r="W14" s="3404">
        <f t="shared" si="2"/>
        <v>100</v>
      </c>
      <c r="X14" s="504"/>
      <c r="Y14" s="4879"/>
      <c r="Z14" s="28">
        <f t="shared" si="7"/>
        <v>111</v>
      </c>
      <c r="AA14" s="505">
        <f t="shared" si="3"/>
        <v>1</v>
      </c>
      <c r="AB14" s="505">
        <f t="shared" si="4"/>
        <v>1</v>
      </c>
      <c r="AC14" s="1518">
        <f t="shared" si="5"/>
        <v>1</v>
      </c>
    </row>
    <row r="15" spans="1:29" ht="69">
      <c r="A15" s="268" t="s">
        <v>1597</v>
      </c>
      <c r="B15" s="417" t="s">
        <v>1718</v>
      </c>
      <c r="C15" s="1520" t="str">
        <f>估价对象房地状况!C5</f>
        <v>估价对象位于XX商圈，周边办公楼项目较多，入驻率高，办公集聚程度较好</v>
      </c>
      <c r="D15" s="3146">
        <v>100</v>
      </c>
      <c r="E15" s="270"/>
      <c r="F15" s="4056">
        <f>SUMIF(77:77,E16,78:78)-SUMIF(77:77,C16,78:78)+100</f>
        <v>100</v>
      </c>
      <c r="G15" s="269"/>
      <c r="H15" s="4056">
        <f>SUMIF(77:77,G16,78:78)-SUMIF(77:77,C16,78:78)+100</f>
        <v>100</v>
      </c>
      <c r="I15" s="269"/>
      <c r="J15" s="4056">
        <f>SUMIF(77:77,I16,78:78)-SUMIF(77:77,C16,78:78)+100</f>
        <v>100</v>
      </c>
      <c r="K15" s="410"/>
      <c r="L15" s="2153"/>
      <c r="M15" s="2147"/>
      <c r="N15" s="2147"/>
      <c r="O15" s="2147"/>
      <c r="P15" s="4960" t="s">
        <v>1598</v>
      </c>
      <c r="Q15" s="3276" t="str">
        <f t="shared" si="6"/>
        <v>办公集聚程度</v>
      </c>
      <c r="R15" s="4039" t="s">
        <v>13</v>
      </c>
      <c r="S15" s="3405">
        <f t="shared" si="0"/>
        <v>100</v>
      </c>
      <c r="T15" s="4039" t="s">
        <v>13</v>
      </c>
      <c r="U15" s="3405">
        <f t="shared" si="1"/>
        <v>100</v>
      </c>
      <c r="V15" s="4039" t="s">
        <v>13</v>
      </c>
      <c r="W15" s="3405">
        <f t="shared" si="2"/>
        <v>100</v>
      </c>
      <c r="X15" s="963"/>
      <c r="Y15" s="4875"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1"/>
      <c r="Q16" s="3276"/>
      <c r="R16" s="4039"/>
      <c r="S16" s="3405"/>
      <c r="T16" s="4039"/>
      <c r="U16" s="3405"/>
      <c r="V16" s="4039"/>
      <c r="W16" s="3405"/>
      <c r="X16" s="963"/>
      <c r="Y16" s="4876"/>
      <c r="Z16" s="964"/>
      <c r="AA16" s="961">
        <v>1</v>
      </c>
      <c r="AB16" s="961">
        <v>1</v>
      </c>
      <c r="AC16" s="1521">
        <v>1</v>
      </c>
    </row>
    <row r="17" spans="1:29" ht="82.8">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7">
        <f>SUMIF(79:79,G18,80:80)-SUMIF(79:79,C18,80:80)+100</f>
        <v>100</v>
      </c>
      <c r="I17" s="276"/>
      <c r="J17" s="4057">
        <f>SUMIF(79:79,I18,80:80)-SUMIF(79:79,C18,80:80)+100</f>
        <v>100</v>
      </c>
      <c r="K17" s="410"/>
      <c r="L17" s="2153"/>
      <c r="M17" s="2147"/>
      <c r="N17" s="2147"/>
      <c r="O17" s="2147"/>
      <c r="P17" s="4961"/>
      <c r="Q17" s="3276" t="str">
        <f>B17</f>
        <v>交通便捷度</v>
      </c>
      <c r="R17" s="4039" t="s">
        <v>13</v>
      </c>
      <c r="S17" s="3405">
        <f>F17</f>
        <v>100</v>
      </c>
      <c r="T17" s="4039" t="s">
        <v>13</v>
      </c>
      <c r="U17" s="3405">
        <f>H17</f>
        <v>100</v>
      </c>
      <c r="V17" s="4039" t="s">
        <v>13</v>
      </c>
      <c r="W17" s="3405">
        <f>J17</f>
        <v>100</v>
      </c>
      <c r="X17" s="963"/>
      <c r="Y17" s="4876"/>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1"/>
      <c r="Q18" s="3276"/>
      <c r="R18" s="4039"/>
      <c r="S18" s="3405"/>
      <c r="T18" s="4039"/>
      <c r="U18" s="3405"/>
      <c r="V18" s="4039"/>
      <c r="W18" s="3405"/>
      <c r="X18" s="963"/>
      <c r="Y18" s="4876"/>
      <c r="Z18" s="964"/>
      <c r="AA18" s="961">
        <v>1</v>
      </c>
      <c r="AB18" s="961">
        <v>1</v>
      </c>
      <c r="AC18" s="1521">
        <v>1</v>
      </c>
    </row>
    <row r="19" spans="1:29" ht="41.4">
      <c r="A19" s="260"/>
      <c r="B19" s="419" t="s">
        <v>1719</v>
      </c>
      <c r="C19" s="1522" t="str">
        <f>估价对象房地状况!C7</f>
        <v>估价对象所在区域公共配套设施齐备情况</v>
      </c>
      <c r="D19" s="3149">
        <v>100</v>
      </c>
      <c r="E19" s="280"/>
      <c r="F19" s="4057">
        <f>SUMIF(81:81,E20,82:82)-SUMIF(81:81,C20,82:82)+100</f>
        <v>100</v>
      </c>
      <c r="G19" s="279"/>
      <c r="H19" s="274">
        <f>SUMIF(81:81,G20,82:82)-SUMIF(81:81,C20,82:82)+100</f>
        <v>100</v>
      </c>
      <c r="I19" s="279"/>
      <c r="J19" s="274">
        <f>SUMIF(81:81,I20,82:82)-SUMIF(81:81,C20,82:82)+100</f>
        <v>100</v>
      </c>
      <c r="K19" s="410"/>
      <c r="L19" s="2153"/>
      <c r="M19" s="2147"/>
      <c r="N19" s="2147"/>
      <c r="O19" s="2147"/>
      <c r="P19" s="4961"/>
      <c r="Q19" s="3276" t="str">
        <f>B19</f>
        <v>公共配套设施</v>
      </c>
      <c r="R19" s="4039" t="s">
        <v>13</v>
      </c>
      <c r="S19" s="3405">
        <f>F19</f>
        <v>100</v>
      </c>
      <c r="T19" s="4039" t="s">
        <v>13</v>
      </c>
      <c r="U19" s="3405">
        <f>H19</f>
        <v>100</v>
      </c>
      <c r="V19" s="4039" t="s">
        <v>13</v>
      </c>
      <c r="W19" s="3405">
        <f>J19</f>
        <v>100</v>
      </c>
      <c r="X19" s="963"/>
      <c r="Y19" s="4876"/>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1"/>
      <c r="Q20" s="3276"/>
      <c r="R20" s="4039"/>
      <c r="S20" s="3405"/>
      <c r="T20" s="4039"/>
      <c r="U20" s="3405"/>
      <c r="V20" s="4039"/>
      <c r="W20" s="3405"/>
      <c r="X20" s="963"/>
      <c r="Y20" s="4876"/>
      <c r="Z20" s="964"/>
      <c r="AA20" s="961">
        <v>1</v>
      </c>
      <c r="AB20" s="961">
        <v>1</v>
      </c>
      <c r="AC20" s="1521">
        <v>1</v>
      </c>
    </row>
    <row r="21" spans="1:29" ht="27.6">
      <c r="A21" s="260"/>
      <c r="B21" s="421" t="s">
        <v>1720</v>
      </c>
      <c r="C21" s="1522" t="str">
        <f>估价对象房地状况!C8</f>
        <v>估价对象所在区域基础设施水平</v>
      </c>
      <c r="D21" s="3148">
        <v>100</v>
      </c>
      <c r="E21" s="280"/>
      <c r="F21" s="4057">
        <f>SUMIF(83:83,E22,84:84)-SUMIF(83:83,C22,84:84)+100</f>
        <v>100</v>
      </c>
      <c r="G21" s="279"/>
      <c r="H21" s="274">
        <f>SUMIF(83:83,G22,84:84)-SUMIF(83:83,C22,84:84)+100</f>
        <v>100</v>
      </c>
      <c r="I21" s="279"/>
      <c r="J21" s="274">
        <f>SUMIF(83:83,I22,84:84)-SUMIF(83:83,C22,84:84)+100</f>
        <v>100</v>
      </c>
      <c r="K21" s="410"/>
      <c r="L21" s="2153"/>
      <c r="M21" s="2147"/>
      <c r="N21" s="2147"/>
      <c r="O21" s="2147"/>
      <c r="P21" s="4961"/>
      <c r="Q21" s="3276" t="str">
        <f>B21</f>
        <v>基础设施水平</v>
      </c>
      <c r="R21" s="4039" t="s">
        <v>13</v>
      </c>
      <c r="S21" s="3405">
        <f>F21</f>
        <v>100</v>
      </c>
      <c r="T21" s="4039" t="s">
        <v>13</v>
      </c>
      <c r="U21" s="3405">
        <f>H21</f>
        <v>100</v>
      </c>
      <c r="V21" s="4039" t="s">
        <v>13</v>
      </c>
      <c r="W21" s="3405">
        <f>J21</f>
        <v>100</v>
      </c>
      <c r="X21" s="963"/>
      <c r="Y21" s="4876"/>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1"/>
      <c r="Q22" s="3276"/>
      <c r="R22" s="4039"/>
      <c r="S22" s="3405"/>
      <c r="T22" s="4039"/>
      <c r="U22" s="3405"/>
      <c r="V22" s="4039"/>
      <c r="W22" s="3405"/>
      <c r="X22" s="963"/>
      <c r="Y22" s="4876"/>
      <c r="Z22" s="964"/>
      <c r="AA22" s="961">
        <v>1</v>
      </c>
      <c r="AB22" s="961">
        <v>1</v>
      </c>
      <c r="AC22" s="1521">
        <v>1</v>
      </c>
    </row>
    <row r="23" spans="1:29" ht="55.2">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1"/>
      <c r="Q23" s="3276" t="str">
        <f>B23</f>
        <v>环境质量</v>
      </c>
      <c r="R23" s="4039" t="s">
        <v>13</v>
      </c>
      <c r="S23" s="3405">
        <f>F23</f>
        <v>100</v>
      </c>
      <c r="T23" s="4039" t="s">
        <v>13</v>
      </c>
      <c r="U23" s="3405">
        <f>H23</f>
        <v>100</v>
      </c>
      <c r="V23" s="4039" t="s">
        <v>13</v>
      </c>
      <c r="W23" s="3405">
        <f>J23</f>
        <v>100</v>
      </c>
      <c r="X23" s="963"/>
      <c r="Y23" s="4876"/>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1"/>
      <c r="Q24" s="3276"/>
      <c r="R24" s="4039"/>
      <c r="S24" s="3405"/>
      <c r="T24" s="4039"/>
      <c r="U24" s="3405"/>
      <c r="V24" s="4039"/>
      <c r="W24" s="3405"/>
      <c r="X24" s="963"/>
      <c r="Y24" s="4876"/>
      <c r="Z24" s="964"/>
      <c r="AA24" s="961">
        <v>1</v>
      </c>
      <c r="AB24" s="961">
        <v>1</v>
      </c>
      <c r="AC24" s="1521">
        <v>1</v>
      </c>
    </row>
    <row r="25" spans="1:29" ht="28.8">
      <c r="A25" s="244"/>
      <c r="B25" s="419" t="s">
        <v>1722</v>
      </c>
      <c r="C25" s="1472"/>
      <c r="D25" s="3144">
        <v>100</v>
      </c>
      <c r="E25" s="265"/>
      <c r="F25" s="4058">
        <f>SUMIF(87:87,E26,88:88)-SUMIF(87:87,C26,88:88)+100</f>
        <v>100</v>
      </c>
      <c r="G25" s="1472"/>
      <c r="H25" s="4058">
        <f>SUMIF(87:87,G26,88:88)-SUMIF(87:87,C26,88:88)+100</f>
        <v>100</v>
      </c>
      <c r="I25" s="265"/>
      <c r="J25" s="4058">
        <f>SUMIF(87:87,I26,88:88)-SUMIF(87:87,C26,88:88)+100</f>
        <v>100</v>
      </c>
      <c r="K25" s="410"/>
      <c r="L25" s="2153"/>
      <c r="M25" s="2147"/>
      <c r="N25" s="2147"/>
      <c r="O25" s="2147"/>
      <c r="P25" s="4961"/>
      <c r="Q25" s="3276" t="str">
        <f>B25</f>
        <v>毗邻道路的类型与等级</v>
      </c>
      <c r="R25" s="4039" t="s">
        <v>13</v>
      </c>
      <c r="S25" s="3405">
        <f>F25</f>
        <v>100</v>
      </c>
      <c r="T25" s="4039" t="s">
        <v>13</v>
      </c>
      <c r="U25" s="3405">
        <f>H25</f>
        <v>100</v>
      </c>
      <c r="V25" s="4039" t="s">
        <v>13</v>
      </c>
      <c r="W25" s="3405">
        <f>J25</f>
        <v>100</v>
      </c>
      <c r="X25" s="963"/>
      <c r="Y25" s="4876"/>
      <c r="Z25" s="964" t="str">
        <f>Q25</f>
        <v>毗邻道路的类型与等级</v>
      </c>
      <c r="AA25" s="961">
        <f t="shared" si="3"/>
        <v>1</v>
      </c>
      <c r="AB25" s="961">
        <f t="shared" si="4"/>
        <v>1</v>
      </c>
      <c r="AC25" s="1521">
        <f t="shared" si="5"/>
        <v>1</v>
      </c>
    </row>
    <row r="26" spans="1:29" ht="15">
      <c r="A26" s="244"/>
      <c r="B26" s="420"/>
      <c r="C26" s="422"/>
      <c r="D26" s="3144"/>
      <c r="E26" s="412"/>
      <c r="F26" s="4058"/>
      <c r="G26" s="422"/>
      <c r="H26" s="4058"/>
      <c r="I26" s="412"/>
      <c r="J26" s="4058"/>
      <c r="K26" s="411"/>
      <c r="L26" s="2153"/>
      <c r="M26" s="2147"/>
      <c r="N26" s="2147"/>
      <c r="O26" s="2147"/>
      <c r="P26" s="4961"/>
      <c r="Q26" s="3276"/>
      <c r="R26" s="4039"/>
      <c r="S26" s="3405"/>
      <c r="T26" s="4039"/>
      <c r="U26" s="3405"/>
      <c r="V26" s="4039"/>
      <c r="W26" s="3405"/>
      <c r="X26" s="963"/>
      <c r="Y26" s="4876"/>
      <c r="Z26" s="964"/>
      <c r="AA26" s="961">
        <v>1</v>
      </c>
      <c r="AB26" s="961">
        <v>1</v>
      </c>
      <c r="AC26" s="1521">
        <v>1</v>
      </c>
    </row>
    <row r="27" spans="1:29" ht="15">
      <c r="A27" s="260"/>
      <c r="B27" s="420" t="s">
        <v>1690</v>
      </c>
      <c r="C27" s="422"/>
      <c r="D27" s="3144">
        <v>100</v>
      </c>
      <c r="E27" s="412"/>
      <c r="F27" s="4058">
        <f>SUMIF(89:89,E27,90:90)-SUMIF(89:89,C27,90:90)+100</f>
        <v>100</v>
      </c>
      <c r="G27" s="422"/>
      <c r="H27" s="4058">
        <f>SUMIF(89:89,G27,90:90)-SUMIF(89:89,C27,90:90)+100</f>
        <v>100</v>
      </c>
      <c r="I27" s="412"/>
      <c r="J27" s="4058">
        <f>SUMIF(89:89,I27,90:90)-SUMIF(89:89,C27,90:90)+100</f>
        <v>100</v>
      </c>
      <c r="K27" s="408"/>
      <c r="L27" s="2153"/>
      <c r="M27" s="2147"/>
      <c r="N27" s="2147"/>
      <c r="O27" s="2147"/>
      <c r="P27" s="4961"/>
      <c r="Q27" s="3276" t="str">
        <f t="shared" ref="Q27:Q47" si="11">B27</f>
        <v>楼层</v>
      </c>
      <c r="R27" s="4039" t="s">
        <v>13</v>
      </c>
      <c r="S27" s="3405">
        <f>F27</f>
        <v>100</v>
      </c>
      <c r="T27" s="4039" t="s">
        <v>13</v>
      </c>
      <c r="U27" s="3405">
        <f>H27</f>
        <v>100</v>
      </c>
      <c r="V27" s="4039" t="s">
        <v>13</v>
      </c>
      <c r="W27" s="3405">
        <f>J27</f>
        <v>100</v>
      </c>
      <c r="X27" s="963"/>
      <c r="Y27" s="4876"/>
      <c r="Z27" s="964" t="str">
        <f>Q27</f>
        <v>楼层</v>
      </c>
      <c r="AA27" s="961">
        <f t="shared" si="3"/>
        <v>1</v>
      </c>
      <c r="AB27" s="961">
        <f t="shared" si="4"/>
        <v>1</v>
      </c>
      <c r="AC27" s="1521">
        <f t="shared" si="5"/>
        <v>1</v>
      </c>
    </row>
    <row r="28" spans="1:29" s="49" customFormat="1" ht="15">
      <c r="A28" s="263"/>
      <c r="B28" s="419" t="s">
        <v>1723</v>
      </c>
      <c r="C28" s="1524"/>
      <c r="D28" s="3150">
        <v>100</v>
      </c>
      <c r="E28" s="1515"/>
      <c r="F28" s="4059">
        <f>SUMIF(91:91,E28,92:92)-SUMIF(91:91,C28,92:92)+100</f>
        <v>100</v>
      </c>
      <c r="G28" s="1524"/>
      <c r="H28" s="4059">
        <f>SUMIF(91:91,G28,92:92)-SUMIF(91:91,C28,92:92)+100</f>
        <v>100</v>
      </c>
      <c r="I28" s="1515"/>
      <c r="J28" s="4059">
        <f>SUMIF(91:91,I28,92:92)-SUMIF(91:91,C28,92:92)+100</f>
        <v>100</v>
      </c>
      <c r="K28" s="408"/>
      <c r="L28" s="2148"/>
      <c r="M28" s="2149"/>
      <c r="N28" s="2149"/>
      <c r="O28" s="2149"/>
      <c r="P28" s="4961"/>
      <c r="Q28" s="3273" t="str">
        <f t="shared" si="11"/>
        <v>朝向</v>
      </c>
      <c r="R28" s="3918" t="s">
        <v>13</v>
      </c>
      <c r="S28" s="3404">
        <f>F28</f>
        <v>100</v>
      </c>
      <c r="T28" s="3918" t="s">
        <v>13</v>
      </c>
      <c r="U28" s="3404">
        <f>H28</f>
        <v>100</v>
      </c>
      <c r="V28" s="3918" t="s">
        <v>13</v>
      </c>
      <c r="W28" s="3404">
        <f>J28</f>
        <v>100</v>
      </c>
      <c r="X28" s="504"/>
      <c r="Y28" s="4876"/>
      <c r="Z28" s="28" t="str">
        <f>Q28</f>
        <v>朝向</v>
      </c>
      <c r="AA28" s="961">
        <f>D28/F28</f>
        <v>1</v>
      </c>
      <c r="AB28" s="961">
        <f>D28/H28</f>
        <v>1</v>
      </c>
      <c r="AC28" s="1521">
        <f>D28/J28</f>
        <v>1</v>
      </c>
    </row>
    <row r="29" spans="1:29" ht="15">
      <c r="A29" s="260"/>
      <c r="B29" s="1525">
        <v>111</v>
      </c>
      <c r="C29" s="1472"/>
      <c r="D29" s="3144">
        <v>100</v>
      </c>
      <c r="E29" s="264"/>
      <c r="F29" s="4058">
        <f>SUMIF(93:93,E29,94:94)-SUMIF(93:93,C29,94:94)+100</f>
        <v>100</v>
      </c>
      <c r="G29" s="1519"/>
      <c r="H29" s="4058">
        <f>SUMIF(93:93,G29,94:94)-SUMIF(93:93,C29,94:94)+100</f>
        <v>100</v>
      </c>
      <c r="I29" s="264"/>
      <c r="J29" s="4058">
        <f>SUMIF(93:93,I29,94:94)-SUMIF(93:93,C29,94:94)+100</f>
        <v>100</v>
      </c>
      <c r="K29" s="409"/>
      <c r="L29" s="2153"/>
      <c r="M29" s="2147"/>
      <c r="N29" s="2147"/>
      <c r="O29" s="2147"/>
      <c r="P29" s="4961"/>
      <c r="Q29" s="3276">
        <f t="shared" si="11"/>
        <v>111</v>
      </c>
      <c r="R29" s="4039" t="s">
        <v>13</v>
      </c>
      <c r="S29" s="3405">
        <f t="shared" ref="S29:S47" si="12">F29</f>
        <v>100</v>
      </c>
      <c r="T29" s="4039" t="s">
        <v>13</v>
      </c>
      <c r="U29" s="3405">
        <f t="shared" ref="U29:U47" si="13">H29</f>
        <v>100</v>
      </c>
      <c r="V29" s="4039" t="s">
        <v>13</v>
      </c>
      <c r="W29" s="3405">
        <f t="shared" ref="W29:W47" si="14">J29</f>
        <v>100</v>
      </c>
      <c r="X29" s="963"/>
      <c r="Y29" s="4876"/>
      <c r="Z29" s="964">
        <f t="shared" ref="Z29:Z47" si="15">Q29</f>
        <v>111</v>
      </c>
      <c r="AA29" s="961">
        <f t="shared" si="3"/>
        <v>1</v>
      </c>
      <c r="AB29" s="961">
        <f t="shared" si="4"/>
        <v>1</v>
      </c>
      <c r="AC29" s="1521">
        <f t="shared" si="5"/>
        <v>1</v>
      </c>
    </row>
    <row r="30" spans="1:29" ht="15">
      <c r="A30" s="260"/>
      <c r="B30" s="1525">
        <v>111</v>
      </c>
      <c r="C30" s="1472"/>
      <c r="D30" s="3144">
        <v>100</v>
      </c>
      <c r="E30" s="264"/>
      <c r="F30" s="4058">
        <f>SUMIF(95:95,E30,96:96)-SUMIF(95:95,C30,96:96)+100</f>
        <v>100</v>
      </c>
      <c r="G30" s="1519"/>
      <c r="H30" s="4058">
        <f>SUMIF(95:95,G30,96:96)-SUMIF(95:95,C30,96:96)+100</f>
        <v>100</v>
      </c>
      <c r="I30" s="264"/>
      <c r="J30" s="4058">
        <f>SUMIF(95:95,I30,96:96)-SUMIF(95:95,C30,96:96)+100</f>
        <v>100</v>
      </c>
      <c r="K30" s="409"/>
      <c r="L30" s="2153"/>
      <c r="M30" s="2147"/>
      <c r="N30" s="2147"/>
      <c r="O30" s="2147"/>
      <c r="P30" s="4961"/>
      <c r="Q30" s="3276">
        <f t="shared" si="11"/>
        <v>111</v>
      </c>
      <c r="R30" s="4039" t="s">
        <v>13</v>
      </c>
      <c r="S30" s="3405">
        <f t="shared" si="12"/>
        <v>100</v>
      </c>
      <c r="T30" s="4039" t="s">
        <v>13</v>
      </c>
      <c r="U30" s="3405">
        <f t="shared" si="13"/>
        <v>100</v>
      </c>
      <c r="V30" s="4039" t="s">
        <v>13</v>
      </c>
      <c r="W30" s="3405">
        <f t="shared" si="14"/>
        <v>100</v>
      </c>
      <c r="X30" s="963"/>
      <c r="Y30" s="4876"/>
      <c r="Z30" s="964">
        <f t="shared" si="15"/>
        <v>111</v>
      </c>
      <c r="AA30" s="961">
        <f t="shared" si="3"/>
        <v>1</v>
      </c>
      <c r="AB30" s="961">
        <f t="shared" si="4"/>
        <v>1</v>
      </c>
      <c r="AC30" s="1521">
        <f t="shared" si="5"/>
        <v>1</v>
      </c>
    </row>
    <row r="31" spans="1:29" ht="15">
      <c r="A31" s="260"/>
      <c r="B31" s="1525">
        <v>111</v>
      </c>
      <c r="C31" s="1472"/>
      <c r="D31" s="3144">
        <v>100</v>
      </c>
      <c r="E31" s="264"/>
      <c r="F31" s="4058">
        <f>SUMIF(97:97,E31,98:98)-SUMIF(97:97,C31,98:98)+100</f>
        <v>100</v>
      </c>
      <c r="G31" s="1519"/>
      <c r="H31" s="4058">
        <f>SUMIF(97:97,G31,98:98)-SUMIF(97:97,C31,98:98)+100</f>
        <v>100</v>
      </c>
      <c r="I31" s="264"/>
      <c r="J31" s="4058">
        <f>SUMIF(97:97,I31,98:98)-SUMIF(97:97,C31,98:98)+100</f>
        <v>100</v>
      </c>
      <c r="K31" s="409"/>
      <c r="L31" s="2153"/>
      <c r="M31" s="2147"/>
      <c r="N31" s="2147"/>
      <c r="O31" s="2147"/>
      <c r="P31" s="4961"/>
      <c r="Q31" s="3276">
        <f t="shared" si="11"/>
        <v>111</v>
      </c>
      <c r="R31" s="4039" t="s">
        <v>13</v>
      </c>
      <c r="S31" s="3405">
        <f t="shared" si="12"/>
        <v>100</v>
      </c>
      <c r="T31" s="4039" t="s">
        <v>13</v>
      </c>
      <c r="U31" s="3405">
        <f t="shared" si="13"/>
        <v>100</v>
      </c>
      <c r="V31" s="4039" t="s">
        <v>13</v>
      </c>
      <c r="W31" s="3405">
        <f t="shared" si="14"/>
        <v>100</v>
      </c>
      <c r="X31" s="963"/>
      <c r="Y31" s="4876"/>
      <c r="Z31" s="964">
        <f t="shared" si="15"/>
        <v>111</v>
      </c>
      <c r="AA31" s="961">
        <f t="shared" si="3"/>
        <v>1</v>
      </c>
      <c r="AB31" s="961">
        <f t="shared" si="4"/>
        <v>1</v>
      </c>
      <c r="AC31" s="1521">
        <f t="shared" si="5"/>
        <v>1</v>
      </c>
    </row>
    <row r="32" spans="1:29" ht="15.6" thickBot="1">
      <c r="A32" s="266"/>
      <c r="B32" s="423">
        <v>111</v>
      </c>
      <c r="C32" s="1473"/>
      <c r="D32" s="3145">
        <v>100</v>
      </c>
      <c r="E32" s="416"/>
      <c r="F32" s="4055">
        <f>SUMIF(99:99,E32,100:100)-SUMIF(99:99,C32,100:100)+100</f>
        <v>100</v>
      </c>
      <c r="G32" s="1519"/>
      <c r="H32" s="4055">
        <f>SUMIF(99:99,G32,100:100)-SUMIF(99:99,C32,100:100)+100</f>
        <v>100</v>
      </c>
      <c r="I32" s="264"/>
      <c r="J32" s="4055">
        <f>SUMIF(99:99,I32,100:100)-SUMIF(99:99,C32,100:100)+100</f>
        <v>100</v>
      </c>
      <c r="K32" s="409"/>
      <c r="L32" s="2153"/>
      <c r="M32" s="2147"/>
      <c r="N32" s="2147"/>
      <c r="O32" s="2147"/>
      <c r="P32" s="4961"/>
      <c r="Q32" s="3276">
        <f t="shared" si="11"/>
        <v>111</v>
      </c>
      <c r="R32" s="4039" t="s">
        <v>13</v>
      </c>
      <c r="S32" s="3405">
        <f t="shared" si="12"/>
        <v>100</v>
      </c>
      <c r="T32" s="4039" t="s">
        <v>13</v>
      </c>
      <c r="U32" s="3405">
        <f t="shared" si="13"/>
        <v>100</v>
      </c>
      <c r="V32" s="4039" t="s">
        <v>13</v>
      </c>
      <c r="W32" s="3405">
        <f t="shared" si="14"/>
        <v>100</v>
      </c>
      <c r="X32" s="963"/>
      <c r="Y32" s="4876"/>
      <c r="Z32" s="964">
        <f t="shared" si="15"/>
        <v>111</v>
      </c>
      <c r="AA32" s="961">
        <f t="shared" si="3"/>
        <v>1</v>
      </c>
      <c r="AB32" s="961">
        <f t="shared" si="4"/>
        <v>1</v>
      </c>
      <c r="AC32" s="1521">
        <f t="shared" si="5"/>
        <v>1</v>
      </c>
    </row>
    <row r="33" spans="1:29" ht="15">
      <c r="A33" s="268" t="s">
        <v>1601</v>
      </c>
      <c r="B33" s="34" t="s">
        <v>1724</v>
      </c>
      <c r="C33" s="1526"/>
      <c r="D33" s="3151">
        <v>100</v>
      </c>
      <c r="E33" s="1526"/>
      <c r="F33" s="4060">
        <f>SUMIF(101:101,E33,102:102)-SUMIF(101:101,C33,102:102)+100</f>
        <v>100</v>
      </c>
      <c r="G33" s="1526"/>
      <c r="H33" s="4058">
        <f>SUMIF(101:101,G33,102:102)-SUMIF(101:101,C33,102:102)+100</f>
        <v>100</v>
      </c>
      <c r="I33" s="1526"/>
      <c r="J33" s="4064">
        <f>SUMIF(101:101,I33,102:102)-SUMIF(101:101,C33,102:102)+100</f>
        <v>100</v>
      </c>
      <c r="K33" s="408"/>
      <c r="L33" s="2153"/>
      <c r="M33" s="2147"/>
      <c r="N33" s="2147"/>
      <c r="O33" s="2147"/>
      <c r="P33" s="4956" t="s">
        <v>1603</v>
      </c>
      <c r="Q33" s="3276" t="str">
        <f t="shared" si="11"/>
        <v>建筑类型</v>
      </c>
      <c r="R33" s="4039" t="s">
        <v>13</v>
      </c>
      <c r="S33" s="3405">
        <f t="shared" si="12"/>
        <v>100</v>
      </c>
      <c r="T33" s="4039" t="s">
        <v>13</v>
      </c>
      <c r="U33" s="3405">
        <f t="shared" si="13"/>
        <v>100</v>
      </c>
      <c r="V33" s="4039" t="s">
        <v>13</v>
      </c>
      <c r="W33" s="3405">
        <f t="shared" si="14"/>
        <v>100</v>
      </c>
      <c r="X33" s="963"/>
      <c r="Y33" s="4878"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2"/>
      <c r="M34" s="2154"/>
      <c r="N34" s="2154"/>
      <c r="O34" s="2154"/>
      <c r="P34" s="4957"/>
      <c r="Q34" s="3106" t="str">
        <f t="shared" si="11"/>
        <v>项目建筑规模</v>
      </c>
      <c r="R34" s="4040" t="s">
        <v>13</v>
      </c>
      <c r="S34" s="3406" t="e">
        <f t="shared" si="12"/>
        <v>#N/A</v>
      </c>
      <c r="T34" s="4040" t="s">
        <v>13</v>
      </c>
      <c r="U34" s="3406" t="e">
        <f t="shared" si="13"/>
        <v>#N/A</v>
      </c>
      <c r="V34" s="4040" t="s">
        <v>13</v>
      </c>
      <c r="W34" s="3406" t="e">
        <f t="shared" si="14"/>
        <v>#N/A</v>
      </c>
      <c r="X34" s="507"/>
      <c r="Y34" s="4878"/>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0">
        <f>SUMIF(106:106,E35,107:107)-SUMIF(106:106,C35,107:107)+100</f>
        <v>100</v>
      </c>
      <c r="G35" s="281"/>
      <c r="H35" s="4058">
        <f>SUMIF(106:106,G35,107:107)-SUMIF(106:106,C35,107:107)+100</f>
        <v>100</v>
      </c>
      <c r="I35" s="281"/>
      <c r="J35" s="4058">
        <f>SUMIF(106:106,I35,107:107)-SUMIF(106:106,C35,107:107)+100</f>
        <v>100</v>
      </c>
      <c r="K35" s="408"/>
      <c r="L35" s="2153"/>
      <c r="M35" s="2147"/>
      <c r="N35" s="2147"/>
      <c r="O35" s="2147"/>
      <c r="P35" s="4957"/>
      <c r="Q35" s="3276" t="str">
        <f t="shared" si="11"/>
        <v>建筑结构</v>
      </c>
      <c r="R35" s="4039" t="s">
        <v>13</v>
      </c>
      <c r="S35" s="3405">
        <f t="shared" si="12"/>
        <v>100</v>
      </c>
      <c r="T35" s="4039" t="s">
        <v>13</v>
      </c>
      <c r="U35" s="3405">
        <f t="shared" si="13"/>
        <v>100</v>
      </c>
      <c r="V35" s="4039" t="s">
        <v>13</v>
      </c>
      <c r="W35" s="3405">
        <f t="shared" si="14"/>
        <v>100</v>
      </c>
      <c r="X35" s="963"/>
      <c r="Y35" s="4878"/>
      <c r="Z35" s="964" t="str">
        <f t="shared" si="15"/>
        <v>建筑结构</v>
      </c>
      <c r="AA35" s="961">
        <f t="shared" si="3"/>
        <v>1</v>
      </c>
      <c r="AB35" s="961">
        <f t="shared" si="4"/>
        <v>1</v>
      </c>
      <c r="AC35" s="1521">
        <f t="shared" si="5"/>
        <v>1</v>
      </c>
    </row>
    <row r="36" spans="1:29" ht="15">
      <c r="A36" s="286"/>
      <c r="B36" s="258" t="s">
        <v>1692</v>
      </c>
      <c r="C36" s="281"/>
      <c r="D36" s="3144">
        <v>100</v>
      </c>
      <c r="E36" s="281"/>
      <c r="F36" s="4060">
        <f>SUMIF(108:108,E36,109:109)-SUMIF(108:108,C36,109:109)+100</f>
        <v>100</v>
      </c>
      <c r="G36" s="281"/>
      <c r="H36" s="4058">
        <f>SUMIF(108:108,G36,109:109)-SUMIF(108:108,C36,109:109)+100</f>
        <v>100</v>
      </c>
      <c r="I36" s="281"/>
      <c r="J36" s="4058">
        <f>SUMIF(108:108,I36,109:109)-SUMIF(108:108,C36,109:109)+100</f>
        <v>100</v>
      </c>
      <c r="K36" s="408"/>
      <c r="L36" s="2153"/>
      <c r="M36" s="2147"/>
      <c r="N36" s="2147"/>
      <c r="O36" s="2147"/>
      <c r="P36" s="4957"/>
      <c r="Q36" s="3276" t="str">
        <f t="shared" si="11"/>
        <v>公共部分装修</v>
      </c>
      <c r="R36" s="4039" t="s">
        <v>13</v>
      </c>
      <c r="S36" s="3405">
        <f t="shared" si="12"/>
        <v>100</v>
      </c>
      <c r="T36" s="4039" t="s">
        <v>13</v>
      </c>
      <c r="U36" s="3405">
        <f t="shared" si="13"/>
        <v>100</v>
      </c>
      <c r="V36" s="4039" t="s">
        <v>13</v>
      </c>
      <c r="W36" s="3405">
        <f t="shared" si="14"/>
        <v>100</v>
      </c>
      <c r="X36" s="963"/>
      <c r="Y36" s="4878"/>
      <c r="Z36" s="964" t="str">
        <f t="shared" si="15"/>
        <v>公共部分装修</v>
      </c>
      <c r="AA36" s="961">
        <f t="shared" si="3"/>
        <v>1</v>
      </c>
      <c r="AB36" s="961">
        <f t="shared" si="4"/>
        <v>1</v>
      </c>
      <c r="AC36" s="1521">
        <f t="shared" si="5"/>
        <v>1</v>
      </c>
    </row>
    <row r="37" spans="1:29" ht="15">
      <c r="A37" s="286"/>
      <c r="B37" s="258" t="s">
        <v>1693</v>
      </c>
      <c r="C37" s="288"/>
      <c r="D37" s="3144">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3"/>
      <c r="M37" s="2147"/>
      <c r="N37" s="2147"/>
      <c r="O37" s="2147"/>
      <c r="P37" s="4957"/>
      <c r="Q37" s="3276" t="str">
        <f t="shared" si="11"/>
        <v>成新度</v>
      </c>
      <c r="R37" s="4039" t="s">
        <v>13</v>
      </c>
      <c r="S37" s="3405" t="e">
        <f t="shared" si="12"/>
        <v>#N/A</v>
      </c>
      <c r="T37" s="4039" t="s">
        <v>13</v>
      </c>
      <c r="U37" s="3405" t="e">
        <f t="shared" si="13"/>
        <v>#N/A</v>
      </c>
      <c r="V37" s="4039" t="s">
        <v>13</v>
      </c>
      <c r="W37" s="3405" t="e">
        <f t="shared" si="14"/>
        <v>#N/A</v>
      </c>
      <c r="X37" s="963"/>
      <c r="Y37" s="4878"/>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0">
        <f>SUMIF(113:113,E38,114:114)-SUMIF(113:113,C38,114:114)+100</f>
        <v>100</v>
      </c>
      <c r="G38" s="281"/>
      <c r="H38" s="4058">
        <f>SUMIF(113:113,G38,114:114)-SUMIF(113:113,C38,114:114)+100</f>
        <v>100</v>
      </c>
      <c r="I38" s="281"/>
      <c r="J38" s="4058">
        <f>SUMIF(113:113,I38,114:114)-SUMIF(113:113,C38,114:114)+100</f>
        <v>100</v>
      </c>
      <c r="K38" s="408"/>
      <c r="L38" s="2148"/>
      <c r="M38" s="2149"/>
      <c r="N38" s="2149"/>
      <c r="O38" s="2149"/>
      <c r="P38" s="4957"/>
      <c r="Q38" s="3273" t="str">
        <f t="shared" si="11"/>
        <v>写字楼等级</v>
      </c>
      <c r="R38" s="3918" t="s">
        <v>13</v>
      </c>
      <c r="S38" s="3404">
        <f t="shared" si="12"/>
        <v>100</v>
      </c>
      <c r="T38" s="3918" t="s">
        <v>13</v>
      </c>
      <c r="U38" s="3404">
        <f t="shared" si="13"/>
        <v>100</v>
      </c>
      <c r="V38" s="3918" t="s">
        <v>13</v>
      </c>
      <c r="W38" s="3404">
        <f t="shared" si="14"/>
        <v>100</v>
      </c>
      <c r="X38" s="504"/>
      <c r="Y38" s="4878"/>
      <c r="Z38" s="28" t="str">
        <f t="shared" si="15"/>
        <v>写字楼等级</v>
      </c>
      <c r="AA38" s="505">
        <f t="shared" si="3"/>
        <v>1</v>
      </c>
      <c r="AB38" s="505">
        <f t="shared" si="4"/>
        <v>1</v>
      </c>
      <c r="AC38" s="1518">
        <f t="shared" si="5"/>
        <v>1</v>
      </c>
    </row>
    <row r="39" spans="1:29" ht="15">
      <c r="A39" s="286"/>
      <c r="B39" s="258" t="s">
        <v>1726</v>
      </c>
      <c r="C39" s="281"/>
      <c r="D39" s="3144">
        <v>100</v>
      </c>
      <c r="E39" s="281"/>
      <c r="F39" s="4060">
        <f>SUMIF(115:115,E39,116:116)-SUMIF(115:115,C39,116:116)+100</f>
        <v>100</v>
      </c>
      <c r="G39" s="281"/>
      <c r="H39" s="4058">
        <f>SUMIF(115:115,G39,116:116)-SUMIF(115:115,C39,116:116)+100</f>
        <v>100</v>
      </c>
      <c r="I39" s="281"/>
      <c r="J39" s="4058">
        <f>SUMIF(115:115,I39,116:116)-SUMIF(115:115,C39,116:116)+100</f>
        <v>100</v>
      </c>
      <c r="K39" s="408"/>
      <c r="L39" s="2153"/>
      <c r="M39" s="2147"/>
      <c r="N39" s="2147"/>
      <c r="O39" s="2147"/>
      <c r="P39" s="4957" t="s">
        <v>1603</v>
      </c>
      <c r="Q39" s="3276" t="str">
        <f t="shared" si="11"/>
        <v>物业管理</v>
      </c>
      <c r="R39" s="4039" t="s">
        <v>13</v>
      </c>
      <c r="S39" s="3405">
        <f t="shared" si="12"/>
        <v>100</v>
      </c>
      <c r="T39" s="4039" t="s">
        <v>13</v>
      </c>
      <c r="U39" s="3405">
        <f t="shared" si="13"/>
        <v>100</v>
      </c>
      <c r="V39" s="4039" t="s">
        <v>13</v>
      </c>
      <c r="W39" s="3405">
        <f t="shared" si="14"/>
        <v>100</v>
      </c>
      <c r="X39" s="963"/>
      <c r="Y39" s="4878"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0">
        <f>SUMIF(117:117,E40,118:118)-SUMIF(117:117,C40,118:118)+100</f>
        <v>100</v>
      </c>
      <c r="G40" s="281"/>
      <c r="H40" s="4058">
        <f>SUMIF(117:117,G40,118:118)-SUMIF(117:117,C40,118:118)+100</f>
        <v>100</v>
      </c>
      <c r="I40" s="281"/>
      <c r="J40" s="4058">
        <f>SUMIF(117:117,I40,118:118)-SUMIF(117:117,C40,118:118)+100</f>
        <v>100</v>
      </c>
      <c r="K40" s="408"/>
      <c r="L40" s="2153"/>
      <c r="M40" s="2147"/>
      <c r="N40" s="2147"/>
      <c r="O40" s="2147"/>
      <c r="P40" s="4957"/>
      <c r="Q40" s="3276" t="str">
        <f t="shared" si="11"/>
        <v>市政基础设施</v>
      </c>
      <c r="R40" s="4039" t="s">
        <v>13</v>
      </c>
      <c r="S40" s="3405">
        <f t="shared" si="12"/>
        <v>100</v>
      </c>
      <c r="T40" s="4039" t="s">
        <v>13</v>
      </c>
      <c r="U40" s="3405">
        <f t="shared" si="13"/>
        <v>100</v>
      </c>
      <c r="V40" s="4039" t="s">
        <v>13</v>
      </c>
      <c r="W40" s="3405">
        <f t="shared" si="14"/>
        <v>100</v>
      </c>
      <c r="X40" s="963"/>
      <c r="Y40" s="4878"/>
      <c r="Z40" s="964" t="str">
        <f t="shared" si="15"/>
        <v>市政基础设施</v>
      </c>
      <c r="AA40" s="961">
        <f t="shared" si="3"/>
        <v>1</v>
      </c>
      <c r="AB40" s="961">
        <f t="shared" si="4"/>
        <v>1</v>
      </c>
      <c r="AC40" s="1521">
        <f t="shared" si="5"/>
        <v>1</v>
      </c>
    </row>
    <row r="41" spans="1:29" ht="15">
      <c r="A41" s="286"/>
      <c r="B41" s="258" t="s">
        <v>1696</v>
      </c>
      <c r="C41" s="412"/>
      <c r="D41" s="3144">
        <v>100</v>
      </c>
      <c r="E41" s="412"/>
      <c r="F41" s="4060">
        <f>SUMIF(119:119,E41,120:120)-SUMIF(119:119,C41,120:120)+100</f>
        <v>100</v>
      </c>
      <c r="G41" s="412"/>
      <c r="H41" s="4058">
        <f>SUMIF(119:119,G41,120:120)-SUMIF(119:119,C41,120:120)+100</f>
        <v>100</v>
      </c>
      <c r="I41" s="412"/>
      <c r="J41" s="4058">
        <f>SUMIF(119:119,I41,120:120)-SUMIF(119:119,C41,120:120)+100</f>
        <v>100</v>
      </c>
      <c r="K41" s="408"/>
      <c r="L41" s="2153"/>
      <c r="M41" s="2147"/>
      <c r="N41" s="2147"/>
      <c r="O41" s="2147"/>
      <c r="P41" s="4957"/>
      <c r="Q41" s="3276" t="str">
        <f t="shared" si="11"/>
        <v>层高</v>
      </c>
      <c r="R41" s="4039" t="s">
        <v>13</v>
      </c>
      <c r="S41" s="3405">
        <f t="shared" si="12"/>
        <v>100</v>
      </c>
      <c r="T41" s="4039" t="s">
        <v>13</v>
      </c>
      <c r="U41" s="3405">
        <f t="shared" si="13"/>
        <v>100</v>
      </c>
      <c r="V41" s="4039" t="s">
        <v>13</v>
      </c>
      <c r="W41" s="3405">
        <f t="shared" si="14"/>
        <v>100</v>
      </c>
      <c r="X41" s="963"/>
      <c r="Y41" s="4878"/>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0">
        <f>SUMIF(121:121,E42,122:122)-SUMIF(121:121,C42,122:122)+100</f>
        <v>100</v>
      </c>
      <c r="G42" s="265"/>
      <c r="H42" s="4058">
        <f>SUMIF(121:121,G42,122:122)-SUMIF(121:121,C42,122:122)+100</f>
        <v>100</v>
      </c>
      <c r="I42" s="265"/>
      <c r="J42" s="4058">
        <f>SUMIF(121:121,I42,122:122)-SUMIF(121:121,C42,122:122)+100</f>
        <v>100</v>
      </c>
      <c r="K42" s="409"/>
      <c r="L42" s="2152"/>
      <c r="M42" s="2154"/>
      <c r="N42" s="2154"/>
      <c r="O42" s="2154"/>
      <c r="P42" s="4957"/>
      <c r="Q42" s="3106" t="str">
        <f t="shared" si="11"/>
        <v>单套建筑面积</v>
      </c>
      <c r="R42" s="4040" t="s">
        <v>13</v>
      </c>
      <c r="S42" s="3406">
        <f t="shared" si="12"/>
        <v>100</v>
      </c>
      <c r="T42" s="4040" t="s">
        <v>13</v>
      </c>
      <c r="U42" s="3406">
        <f t="shared" si="13"/>
        <v>100</v>
      </c>
      <c r="V42" s="4040" t="s">
        <v>13</v>
      </c>
      <c r="W42" s="3406">
        <f t="shared" si="14"/>
        <v>100</v>
      </c>
      <c r="X42" s="507"/>
      <c r="Y42" s="4878"/>
      <c r="Z42" s="508" t="str">
        <f t="shared" si="15"/>
        <v>单套建筑面积</v>
      </c>
      <c r="AA42" s="961">
        <f t="shared" si="3"/>
        <v>1</v>
      </c>
      <c r="AB42" s="961">
        <f t="shared" si="4"/>
        <v>1</v>
      </c>
      <c r="AC42" s="1521">
        <f t="shared" si="5"/>
        <v>1</v>
      </c>
    </row>
    <row r="43" spans="1:29" ht="15">
      <c r="A43" s="286"/>
      <c r="B43" s="258" t="s">
        <v>1699</v>
      </c>
      <c r="C43" s="281"/>
      <c r="D43" s="3144">
        <v>100</v>
      </c>
      <c r="E43" s="281"/>
      <c r="F43" s="4060">
        <f>SUMIF(123:123,E43,124:124)-SUMIF(123:123,C43,124:124)+100</f>
        <v>100</v>
      </c>
      <c r="G43" s="281"/>
      <c r="H43" s="4058">
        <f>SUMIF(123:123,G43,124:124)-SUMIF(123:123,C43,124:124)+100</f>
        <v>100</v>
      </c>
      <c r="I43" s="281"/>
      <c r="J43" s="4058">
        <f>SUMIF(123:123,I43,124:124)-SUMIF(123:123,C43,124:124)+100</f>
        <v>100</v>
      </c>
      <c r="K43" s="408"/>
      <c r="L43" s="2153"/>
      <c r="M43" s="2147"/>
      <c r="N43" s="2147"/>
      <c r="O43" s="2147"/>
      <c r="P43" s="4957"/>
      <c r="Q43" s="3276" t="str">
        <f t="shared" si="11"/>
        <v>内部装修</v>
      </c>
      <c r="R43" s="4039" t="s">
        <v>13</v>
      </c>
      <c r="S43" s="3405">
        <f t="shared" si="12"/>
        <v>100</v>
      </c>
      <c r="T43" s="4039" t="s">
        <v>13</v>
      </c>
      <c r="U43" s="3405">
        <f t="shared" si="13"/>
        <v>100</v>
      </c>
      <c r="V43" s="4039" t="s">
        <v>13</v>
      </c>
      <c r="W43" s="3405">
        <f t="shared" si="14"/>
        <v>100</v>
      </c>
      <c r="X43" s="963"/>
      <c r="Y43" s="4878"/>
      <c r="Z43" s="964" t="str">
        <f t="shared" si="15"/>
        <v>内部装修</v>
      </c>
      <c r="AA43" s="961">
        <f t="shared" si="3"/>
        <v>1</v>
      </c>
      <c r="AB43" s="961">
        <f t="shared" si="4"/>
        <v>1</v>
      </c>
      <c r="AC43" s="1521">
        <f t="shared" si="5"/>
        <v>1</v>
      </c>
    </row>
    <row r="44" spans="1:29" ht="28.8">
      <c r="A44" s="286"/>
      <c r="B44" s="258" t="s">
        <v>1614</v>
      </c>
      <c r="C44" s="281"/>
      <c r="D44" s="3144">
        <v>100</v>
      </c>
      <c r="E44" s="1471"/>
      <c r="F44" s="4060">
        <f>SUMIF(125:125,E44,126:126)-SUMIF(125:125,C44,126:126)+100</f>
        <v>100</v>
      </c>
      <c r="G44" s="1471"/>
      <c r="H44" s="4058">
        <f>SUMIF(125:125,G44,126:126)-SUMIF(125:125,C44,126:126)+100</f>
        <v>100</v>
      </c>
      <c r="I44" s="1471"/>
      <c r="J44" s="4058">
        <f>SUMIF(125:125,I44,126:126)-SUMIF(125:125,C44,126:126)+100</f>
        <v>100</v>
      </c>
      <c r="K44" s="408"/>
      <c r="L44" s="2153"/>
      <c r="M44" s="2147"/>
      <c r="N44" s="2147"/>
      <c r="O44" s="2147"/>
      <c r="P44" s="4957"/>
      <c r="Q44" s="3276" t="str">
        <f t="shared" si="11"/>
        <v>内部装修维护情况</v>
      </c>
      <c r="R44" s="4039" t="s">
        <v>13</v>
      </c>
      <c r="S44" s="3405">
        <f t="shared" si="12"/>
        <v>100</v>
      </c>
      <c r="T44" s="4039" t="s">
        <v>13</v>
      </c>
      <c r="U44" s="3405">
        <f t="shared" si="13"/>
        <v>100</v>
      </c>
      <c r="V44" s="4039" t="s">
        <v>13</v>
      </c>
      <c r="W44" s="3405">
        <f t="shared" si="14"/>
        <v>100</v>
      </c>
      <c r="X44" s="963"/>
      <c r="Y44" s="4878"/>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1">
        <f>SUMIF(127:127,E45,128:128)-SUMIF(127:127,C45,128:128)+100</f>
        <v>100</v>
      </c>
      <c r="G45" s="264"/>
      <c r="H45" s="4054">
        <f>SUMIF(127:127,G45,128:128)-SUMIF(127:127,C45,128:128)+100</f>
        <v>100</v>
      </c>
      <c r="I45" s="264"/>
      <c r="J45" s="4054">
        <f>SUMIF(127:127,I45,128:128)-SUMIF(127:127,C45,128:128)+100</f>
        <v>100</v>
      </c>
      <c r="K45" s="409"/>
      <c r="L45" s="2148"/>
      <c r="M45" s="2149"/>
      <c r="N45" s="2149"/>
      <c r="O45" s="2149"/>
      <c r="P45" s="4957"/>
      <c r="Q45" s="3273">
        <f t="shared" si="11"/>
        <v>111</v>
      </c>
      <c r="R45" s="3918" t="s">
        <v>13</v>
      </c>
      <c r="S45" s="3404">
        <f t="shared" si="12"/>
        <v>100</v>
      </c>
      <c r="T45" s="3918" t="s">
        <v>13</v>
      </c>
      <c r="U45" s="3404">
        <f t="shared" si="13"/>
        <v>100</v>
      </c>
      <c r="V45" s="3918" t="s">
        <v>13</v>
      </c>
      <c r="W45" s="3404">
        <f t="shared" si="14"/>
        <v>100</v>
      </c>
      <c r="X45" s="504"/>
      <c r="Y45" s="4878"/>
      <c r="Z45" s="28">
        <f t="shared" si="15"/>
        <v>111</v>
      </c>
      <c r="AA45" s="505">
        <f t="shared" si="3"/>
        <v>1</v>
      </c>
      <c r="AB45" s="505">
        <f t="shared" si="4"/>
        <v>1</v>
      </c>
      <c r="AC45" s="1518">
        <f t="shared" si="5"/>
        <v>1</v>
      </c>
    </row>
    <row r="46" spans="1:29" ht="15">
      <c r="A46" s="286"/>
      <c r="B46" s="802">
        <v>111</v>
      </c>
      <c r="C46" s="265"/>
      <c r="D46" s="3144">
        <v>100</v>
      </c>
      <c r="E46" s="264"/>
      <c r="F46" s="4060">
        <f>SUMIF(129:129,E46,130:130)-SUMIF(129:129,C46,130:130)+100</f>
        <v>100</v>
      </c>
      <c r="G46" s="264"/>
      <c r="H46" s="4058">
        <f>SUMIF(129:129,G46,130:130)-SUMIF(129:129,C46,130:130)+100</f>
        <v>100</v>
      </c>
      <c r="I46" s="264"/>
      <c r="J46" s="4058">
        <f>SUMIF(129:129,I46,130:130)-SUMIF(129:129,C46,130:130)+100</f>
        <v>100</v>
      </c>
      <c r="K46" s="409"/>
      <c r="L46" s="2153"/>
      <c r="M46" s="2147"/>
      <c r="N46" s="2147"/>
      <c r="O46" s="2147"/>
      <c r="P46" s="4957"/>
      <c r="Q46" s="3276">
        <f t="shared" si="11"/>
        <v>111</v>
      </c>
      <c r="R46" s="4039" t="s">
        <v>13</v>
      </c>
      <c r="S46" s="3405">
        <f t="shared" si="12"/>
        <v>100</v>
      </c>
      <c r="T46" s="4039" t="s">
        <v>13</v>
      </c>
      <c r="U46" s="3405">
        <f t="shared" si="13"/>
        <v>100</v>
      </c>
      <c r="V46" s="4039" t="s">
        <v>13</v>
      </c>
      <c r="W46" s="3405">
        <f t="shared" si="14"/>
        <v>100</v>
      </c>
      <c r="X46" s="963"/>
      <c r="Y46" s="4878"/>
      <c r="Z46" s="964">
        <f t="shared" si="15"/>
        <v>111</v>
      </c>
      <c r="AA46" s="961">
        <f t="shared" si="3"/>
        <v>1</v>
      </c>
      <c r="AB46" s="961">
        <f t="shared" si="4"/>
        <v>1</v>
      </c>
      <c r="AC46" s="1521">
        <f t="shared" si="5"/>
        <v>1</v>
      </c>
    </row>
    <row r="47" spans="1:29" ht="15.6" thickBot="1">
      <c r="A47" s="291"/>
      <c r="B47" s="1463">
        <v>111</v>
      </c>
      <c r="C47" s="267"/>
      <c r="D47" s="3145">
        <v>100</v>
      </c>
      <c r="E47" s="264"/>
      <c r="F47" s="4062">
        <f>SUMIF(131:131,E47,132:132)-SUMIF(131:131,C47,132:132)+100</f>
        <v>100</v>
      </c>
      <c r="G47" s="264"/>
      <c r="H47" s="4055">
        <f>SUMIF(131:131,G47,132:132)-SUMIF(131:131,C47,132:132)+100</f>
        <v>100</v>
      </c>
      <c r="I47" s="264"/>
      <c r="J47" s="4055">
        <f>SUMIF(131:131,I47,132:132)-SUMIF(131:131,C47,132:132)+100</f>
        <v>100</v>
      </c>
      <c r="K47" s="409"/>
      <c r="L47" s="2153"/>
      <c r="M47" s="2147"/>
      <c r="N47" s="2147"/>
      <c r="O47" s="2147"/>
      <c r="P47" s="4958"/>
      <c r="Q47" s="3276">
        <f t="shared" si="11"/>
        <v>111</v>
      </c>
      <c r="R47" s="4039" t="s">
        <v>13</v>
      </c>
      <c r="S47" s="3405">
        <f t="shared" si="12"/>
        <v>100</v>
      </c>
      <c r="T47" s="4039" t="s">
        <v>13</v>
      </c>
      <c r="U47" s="3405">
        <f t="shared" si="13"/>
        <v>100</v>
      </c>
      <c r="V47" s="4039" t="s">
        <v>13</v>
      </c>
      <c r="W47" s="3405">
        <f t="shared" si="14"/>
        <v>100</v>
      </c>
      <c r="X47" s="963"/>
      <c r="Y47" s="4959"/>
      <c r="Z47" s="964">
        <f t="shared" si="15"/>
        <v>111</v>
      </c>
      <c r="AA47" s="961">
        <f t="shared" si="3"/>
        <v>1</v>
      </c>
      <c r="AB47" s="961">
        <f t="shared" si="4"/>
        <v>1</v>
      </c>
      <c r="AC47" s="1521">
        <f t="shared" si="5"/>
        <v>1</v>
      </c>
    </row>
    <row r="48" spans="1:29" ht="14.4">
      <c r="A48" s="292" t="s">
        <v>1615</v>
      </c>
      <c r="B48" s="293"/>
      <c r="C48" s="808" t="s">
        <v>0</v>
      </c>
      <c r="D48" s="809"/>
      <c r="E48" s="3457"/>
      <c r="F48" s="3459"/>
      <c r="G48" s="3458"/>
      <c r="H48" s="3460"/>
      <c r="I48" s="3457"/>
      <c r="J48" s="3402"/>
      <c r="K48" s="3104"/>
      <c r="L48" s="2155"/>
      <c r="M48" s="2147"/>
      <c r="N48" s="2147"/>
      <c r="O48" s="2147"/>
      <c r="P48" s="4962" t="str">
        <f>A48</f>
        <v>成交单价（元/平方米）</v>
      </c>
      <c r="Q48" s="4954"/>
      <c r="R48" s="4955">
        <f>E48</f>
        <v>0</v>
      </c>
      <c r="S48" s="4955"/>
      <c r="T48" s="4955">
        <f>G48</f>
        <v>0</v>
      </c>
      <c r="U48" s="4955"/>
      <c r="V48" s="4955">
        <f>I48</f>
        <v>0</v>
      </c>
      <c r="W48" s="4955"/>
      <c r="X48" s="271"/>
      <c r="Y48" s="509"/>
      <c r="Z48" s="271"/>
      <c r="AA48" s="271"/>
      <c r="AB48" s="271"/>
      <c r="AC48" s="418"/>
    </row>
    <row r="49" spans="1:29" ht="15" thickBot="1">
      <c r="A49" s="295" t="s">
        <v>1700</v>
      </c>
      <c r="B49" s="296"/>
      <c r="C49" s="4037" t="e">
        <f>R50</f>
        <v>#DIV/0!</v>
      </c>
      <c r="D49" s="4194" t="s">
        <v>2040</v>
      </c>
      <c r="E49" s="4048" t="e">
        <f>R49</f>
        <v>#DIV/0!</v>
      </c>
      <c r="F49" s="3042"/>
      <c r="G49" s="4037" t="e">
        <f>T49</f>
        <v>#DIV/0!</v>
      </c>
      <c r="H49" s="3042"/>
      <c r="I49" s="4048" t="e">
        <f>V49</f>
        <v>#DIV/0!</v>
      </c>
      <c r="J49" s="3042"/>
      <c r="K49" s="3097">
        <f>F49+H49+J49</f>
        <v>0</v>
      </c>
      <c r="L49" s="2155"/>
      <c r="M49" s="2147"/>
      <c r="N49" s="2147"/>
      <c r="O49" s="2147"/>
      <c r="P49" s="4962" t="str">
        <f>A49</f>
        <v>比较价值（元/平方米）</v>
      </c>
      <c r="Q49" s="4954"/>
      <c r="R49" s="4955" t="e">
        <f>IF(F1="售价",ROUND(PRODUCT(R48,AA7:AA47),0),ROUND(PRODUCT(R48,AA7:AA47),1))</f>
        <v>#DIV/0!</v>
      </c>
      <c r="S49" s="4955"/>
      <c r="T49" s="4955" t="e">
        <f>IF(F1="售价",ROUND(PRODUCT(T48,AB7:AB47),0),ROUND(PRODUCT(T48,AB7:AB47),1))</f>
        <v>#DIV/0!</v>
      </c>
      <c r="U49" s="4955"/>
      <c r="V49" s="4955" t="e">
        <f>IF(F1="售价",ROUND(PRODUCT(V48,AC7:AC47),0),ROUND(PRODUCT(V48,AC7:AC47),1))</f>
        <v>#DIV/0!</v>
      </c>
      <c r="W49" s="4955"/>
      <c r="X49" s="271"/>
      <c r="Y49" s="271"/>
      <c r="Z49" s="271"/>
      <c r="AA49" s="271"/>
      <c r="AB49" s="271"/>
      <c r="AC49" s="418"/>
    </row>
    <row r="50" spans="1:29" ht="15" thickBot="1">
      <c r="A50" s="297" t="s">
        <v>1701</v>
      </c>
      <c r="B50" s="298"/>
      <c r="C50" s="4049" t="e">
        <f>R50</f>
        <v>#DIV/0!</v>
      </c>
      <c r="D50" s="812"/>
      <c r="E50" s="812"/>
      <c r="F50" s="812"/>
      <c r="G50" s="812"/>
      <c r="H50" s="812"/>
      <c r="I50" s="812"/>
      <c r="J50" s="299"/>
      <c r="K50" s="511"/>
      <c r="L50" s="2155"/>
      <c r="M50" s="2147"/>
      <c r="N50" s="2147"/>
      <c r="O50" s="2147"/>
      <c r="P50" s="4991" t="str">
        <f>A50</f>
        <v>估价对象XX用房的比较价值（楼面单价，元/平方米）</v>
      </c>
      <c r="Q50" s="4992"/>
      <c r="R50" s="4993" t="e">
        <f>IF(F1="售价",ROUND(IF(D49="简单平均",AVERAGE(R49:V49),R49*F49+T49*H49+V49*J49),0),ROUND(IF(D49="简单平均",AVERAGE(R49:V49),R49*F49+T49*H49+V49*J49),1))</f>
        <v>#DIV/0!</v>
      </c>
      <c r="S50" s="4993"/>
      <c r="T50" s="4993"/>
      <c r="U50" s="4993"/>
      <c r="V50" s="4993"/>
      <c r="W50" s="499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3873</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5" customWidth="1"/>
    <col min="17" max="17" width="19.44140625" style="3435" customWidth="1"/>
    <col min="18" max="18" width="6.109375" style="3435" customWidth="1"/>
    <col min="19" max="19" width="4.33203125" style="3435" customWidth="1"/>
    <col min="20" max="20" width="6.109375" style="3435" customWidth="1"/>
    <col min="21" max="21" width="4.33203125" style="3435" customWidth="1"/>
    <col min="22" max="22" width="6.109375" style="3435" customWidth="1"/>
    <col min="23" max="23" width="4.33203125" style="3435"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1"/>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42.16</v>
      </c>
      <c r="E3" s="4195" t="s">
        <v>3474</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4.4">
      <c r="A4" s="241" t="s">
        <v>1676</v>
      </c>
      <c r="B4" s="242"/>
      <c r="C4" s="4883" t="s">
        <v>1677</v>
      </c>
      <c r="D4" s="4884"/>
      <c r="E4" s="4885" t="s">
        <v>1678</v>
      </c>
      <c r="F4" s="4886"/>
      <c r="G4" s="4883" t="s">
        <v>1679</v>
      </c>
      <c r="H4" s="4884"/>
      <c r="I4" s="4883" t="s">
        <v>1680</v>
      </c>
      <c r="J4" s="4884"/>
      <c r="K4" s="406" t="s">
        <v>1681</v>
      </c>
      <c r="L4" s="625"/>
      <c r="M4" s="626"/>
      <c r="N4" s="626"/>
      <c r="O4" s="626"/>
      <c r="P4" s="4967" t="s">
        <v>1682</v>
      </c>
      <c r="Q4" s="4968"/>
      <c r="R4" s="4973" t="s">
        <v>1678</v>
      </c>
      <c r="S4" s="4974"/>
      <c r="T4" s="4973" t="s">
        <v>1679</v>
      </c>
      <c r="U4" s="4974"/>
      <c r="V4" s="4979" t="s">
        <v>1680</v>
      </c>
      <c r="W4" s="4979"/>
      <c r="X4" s="963"/>
      <c r="Y4" s="4893" t="s">
        <v>1682</v>
      </c>
      <c r="Z4" s="4894"/>
      <c r="AA4" s="4880" t="s">
        <v>1678</v>
      </c>
      <c r="AB4" s="4881" t="s">
        <v>1679</v>
      </c>
      <c r="AC4" s="4880" t="s">
        <v>1680</v>
      </c>
    </row>
    <row r="5" spans="1:29">
      <c r="A5" s="244"/>
      <c r="B5" s="245"/>
      <c r="C5" s="5004" t="s">
        <v>1580</v>
      </c>
      <c r="D5" s="4902"/>
      <c r="E5" s="5010" t="s">
        <v>1581</v>
      </c>
      <c r="F5" s="4910"/>
      <c r="G5" s="5004" t="s">
        <v>1582</v>
      </c>
      <c r="H5" s="4902"/>
      <c r="I5" s="5004" t="s">
        <v>1583</v>
      </c>
      <c r="J5" s="4902"/>
      <c r="K5" s="406"/>
      <c r="L5" s="625"/>
      <c r="M5" s="626"/>
      <c r="N5" s="626"/>
      <c r="O5" s="626"/>
      <c r="P5" s="4969"/>
      <c r="Q5" s="4970"/>
      <c r="R5" s="4975"/>
      <c r="S5" s="4976"/>
      <c r="T5" s="4975"/>
      <c r="U5" s="4976"/>
      <c r="V5" s="4979"/>
      <c r="W5" s="4979"/>
      <c r="X5" s="963"/>
      <c r="Y5" s="4895"/>
      <c r="Z5" s="4896"/>
      <c r="AA5" s="4881"/>
      <c r="AB5" s="4881"/>
      <c r="AC5" s="4881"/>
    </row>
    <row r="6" spans="1:29" ht="15" thickBot="1">
      <c r="A6" s="246"/>
      <c r="B6" s="247"/>
      <c r="C6" s="4899" t="s">
        <v>1584</v>
      </c>
      <c r="D6" s="4900"/>
      <c r="E6" s="5008" t="s">
        <v>1584</v>
      </c>
      <c r="F6" s="4908"/>
      <c r="G6" s="4899" t="s">
        <v>1584</v>
      </c>
      <c r="H6" s="4900"/>
      <c r="I6" s="4899" t="s">
        <v>1584</v>
      </c>
      <c r="J6" s="4900"/>
      <c r="K6" s="406" t="s">
        <v>1585</v>
      </c>
      <c r="L6" s="625"/>
      <c r="M6" s="626"/>
      <c r="N6" s="626"/>
      <c r="O6" s="626"/>
      <c r="P6" s="4971"/>
      <c r="Q6" s="4972"/>
      <c r="R6" s="4975"/>
      <c r="S6" s="4976"/>
      <c r="T6" s="4977"/>
      <c r="U6" s="4978"/>
      <c r="V6" s="4979"/>
      <c r="W6" s="4979"/>
      <c r="X6" s="963"/>
      <c r="Y6" s="4897"/>
      <c r="Z6" s="4898"/>
      <c r="AA6" s="4882"/>
      <c r="AB6" s="4882"/>
      <c r="AC6" s="4882"/>
    </row>
    <row r="7" spans="1:29" s="49" customFormat="1" ht="15" thickBot="1">
      <c r="A7" s="248" t="s">
        <v>1586</v>
      </c>
      <c r="B7" s="249"/>
      <c r="C7" s="250">
        <f>'数据-取费表'!B2</f>
        <v>46093</v>
      </c>
      <c r="D7" s="3140">
        <v>100</v>
      </c>
      <c r="E7" s="251"/>
      <c r="F7" s="4052">
        <f>SUMIF(52:52,YEAR(E7)&amp;"-"&amp;MONTH(E7),53:53)</f>
        <v>0</v>
      </c>
      <c r="G7" s="251"/>
      <c r="H7" s="4063">
        <f>SUMIF(52:52,YEAR(G7)&amp;"-"&amp;MONTH(G7),53:53)</f>
        <v>0</v>
      </c>
      <c r="I7" s="251"/>
      <c r="J7" s="4063">
        <f>SUMIF(52:52,YEAR(I7)&amp;"-"&amp;MONTH(I7),53:53)</f>
        <v>0</v>
      </c>
      <c r="K7" s="407"/>
      <c r="L7" s="627"/>
      <c r="M7" s="628"/>
      <c r="N7" s="628"/>
      <c r="O7" s="628"/>
      <c r="P7" s="4984" t="s">
        <v>1587</v>
      </c>
      <c r="Q7" s="4986"/>
      <c r="R7" s="4071" t="s">
        <v>13</v>
      </c>
      <c r="S7" s="4074">
        <f t="shared" ref="S7:S15" si="0">F7</f>
        <v>0</v>
      </c>
      <c r="T7" s="4071" t="s">
        <v>13</v>
      </c>
      <c r="U7" s="4074">
        <f t="shared" ref="U7:U15" si="1">H7</f>
        <v>0</v>
      </c>
      <c r="V7" s="4071" t="s">
        <v>13</v>
      </c>
      <c r="W7" s="4074">
        <f t="shared" ref="W7:W15" si="2">J7</f>
        <v>0</v>
      </c>
      <c r="X7" s="504"/>
      <c r="Y7" s="4903" t="s">
        <v>1587</v>
      </c>
      <c r="Z7" s="4904"/>
      <c r="AA7" s="505" t="e">
        <f>D7/F7</f>
        <v>#DIV/0!</v>
      </c>
      <c r="AB7" s="505" t="e">
        <f>D7/H7</f>
        <v>#DIV/0!</v>
      </c>
      <c r="AC7" s="505" t="e">
        <f>D7/J7</f>
        <v>#DIV/0!</v>
      </c>
    </row>
    <row r="8" spans="1:29" s="49" customFormat="1" ht="15" thickBot="1">
      <c r="A8" s="248" t="s">
        <v>1588</v>
      </c>
      <c r="B8" s="249"/>
      <c r="C8" s="252"/>
      <c r="D8" s="3140">
        <v>100</v>
      </c>
      <c r="E8" s="252"/>
      <c r="F8" s="4052">
        <f>SUMIF(55:55,E8,56:56)-SUMIF(55:55,C8,56:56)+100</f>
        <v>100</v>
      </c>
      <c r="G8" s="252"/>
      <c r="H8" s="4063">
        <f>SUMIF(55:55,G8,56:56)-SUMIF(55:55,C8,56:56)+100</f>
        <v>100</v>
      </c>
      <c r="I8" s="252"/>
      <c r="J8" s="4063">
        <f>SUMIF(55:55,I8,56:56)-SUMIF(55:55,C8,56:56)+100</f>
        <v>100</v>
      </c>
      <c r="K8" s="407"/>
      <c r="L8" s="627"/>
      <c r="M8" s="628"/>
      <c r="N8" s="628"/>
      <c r="O8" s="628"/>
      <c r="P8" s="4984" t="s">
        <v>1590</v>
      </c>
      <c r="Q8" s="4985"/>
      <c r="R8" s="4071" t="s">
        <v>13</v>
      </c>
      <c r="S8" s="4074">
        <f t="shared" si="0"/>
        <v>100</v>
      </c>
      <c r="T8" s="4071" t="s">
        <v>13</v>
      </c>
      <c r="U8" s="4074">
        <f t="shared" si="1"/>
        <v>100</v>
      </c>
      <c r="V8" s="4071" t="s">
        <v>13</v>
      </c>
      <c r="W8" s="4074">
        <f t="shared" si="2"/>
        <v>100</v>
      </c>
      <c r="X8" s="504"/>
      <c r="Y8" s="4903" t="s">
        <v>1590</v>
      </c>
      <c r="Z8" s="4904"/>
      <c r="AA8" s="505">
        <f t="shared" ref="AA8:AA40" si="3">D8/F8</f>
        <v>1</v>
      </c>
      <c r="AB8" s="505">
        <f t="shared" ref="AB8:AB40" si="4">D8/H8</f>
        <v>1</v>
      </c>
      <c r="AC8" s="505">
        <f t="shared" ref="AC8:AC40" si="5">D8/J8</f>
        <v>1</v>
      </c>
    </row>
    <row r="9" spans="1:29" s="49" customFormat="1" ht="14.4">
      <c r="A9" s="253" t="s">
        <v>1591</v>
      </c>
      <c r="B9" s="34" t="s">
        <v>1592</v>
      </c>
      <c r="C9" s="254"/>
      <c r="D9" s="3141">
        <v>100</v>
      </c>
      <c r="E9" s="256"/>
      <c r="F9" s="4053">
        <f>SUMIF(57:57,E9,58:58)-SUMIF(57:57,C9,58:58)+100</f>
        <v>100</v>
      </c>
      <c r="G9" s="255"/>
      <c r="H9" s="4053">
        <f>SUMIF(57:57,G9,58:58)-SUMIF(57:57,C9,58:58)+100</f>
        <v>100</v>
      </c>
      <c r="I9" s="255"/>
      <c r="J9" s="4053">
        <f>SUMIF(57:57,I9,58:58)-SUMIF(57:57,C9,58:58)+100</f>
        <v>100</v>
      </c>
      <c r="K9" s="407"/>
      <c r="L9" s="627"/>
      <c r="M9" s="628"/>
      <c r="N9" s="628"/>
      <c r="O9" s="629"/>
      <c r="P9" s="4954" t="s">
        <v>1593</v>
      </c>
      <c r="Q9" s="3273" t="str">
        <f t="shared" ref="Q9:Q15" si="6">B9</f>
        <v>用途</v>
      </c>
      <c r="R9" s="4071" t="s">
        <v>13</v>
      </c>
      <c r="S9" s="4074">
        <f t="shared" si="0"/>
        <v>100</v>
      </c>
      <c r="T9" s="4071" t="s">
        <v>13</v>
      </c>
      <c r="U9" s="4074">
        <f t="shared" si="1"/>
        <v>100</v>
      </c>
      <c r="V9" s="4071" t="s">
        <v>13</v>
      </c>
      <c r="W9" s="4074">
        <f t="shared" si="2"/>
        <v>100</v>
      </c>
      <c r="X9" s="504"/>
      <c r="Y9" s="4879" t="s">
        <v>1594</v>
      </c>
      <c r="Z9" s="28" t="str">
        <f t="shared" ref="Z9:Z15" si="7">Q9</f>
        <v>用途</v>
      </c>
      <c r="AA9" s="505">
        <f t="shared" si="3"/>
        <v>1</v>
      </c>
      <c r="AB9" s="505">
        <f t="shared" si="4"/>
        <v>1</v>
      </c>
      <c r="AC9" s="505">
        <f t="shared" si="5"/>
        <v>1</v>
      </c>
    </row>
    <row r="10" spans="1:29" s="259" customFormat="1" ht="28.8">
      <c r="A10" s="257"/>
      <c r="B10" s="258" t="s">
        <v>1595</v>
      </c>
      <c r="C10" s="2705"/>
      <c r="D10" s="3142">
        <v>100</v>
      </c>
      <c r="E10" s="2705"/>
      <c r="F10" s="4054">
        <f>SUMIF(59:59,E10,60:60)-SUMIF(59:59,C10,60:60)+100</f>
        <v>100</v>
      </c>
      <c r="G10" s="2706"/>
      <c r="H10" s="4054">
        <f>SUMIF(59:59,G10,60:60)-SUMIF(59:59,C10,60:60)+100</f>
        <v>100</v>
      </c>
      <c r="I10" s="2705"/>
      <c r="J10" s="4054">
        <f>SUMIF(59:59,I10,60:60)-SUMIF(59:59,C10,60:60)+100</f>
        <v>100</v>
      </c>
      <c r="K10" s="407"/>
      <c r="L10" s="630"/>
      <c r="M10" s="631"/>
      <c r="N10" s="631"/>
      <c r="O10" s="632"/>
      <c r="P10" s="4954"/>
      <c r="Q10" s="3273" t="str">
        <f t="shared" si="6"/>
        <v>土地使用年限（年）</v>
      </c>
      <c r="R10" s="4071" t="s">
        <v>13</v>
      </c>
      <c r="S10" s="4074">
        <f t="shared" si="0"/>
        <v>100</v>
      </c>
      <c r="T10" s="4071" t="s">
        <v>13</v>
      </c>
      <c r="U10" s="4074">
        <f t="shared" si="1"/>
        <v>100</v>
      </c>
      <c r="V10" s="4071" t="s">
        <v>13</v>
      </c>
      <c r="W10" s="4074">
        <f t="shared" si="2"/>
        <v>100</v>
      </c>
      <c r="X10" s="504"/>
      <c r="Y10" s="4879"/>
      <c r="Z10" s="28" t="str">
        <f t="shared" si="7"/>
        <v>土地使用年限（年）</v>
      </c>
      <c r="AA10" s="505">
        <f t="shared" si="3"/>
        <v>1</v>
      </c>
      <c r="AB10" s="505">
        <f t="shared" si="4"/>
        <v>1</v>
      </c>
      <c r="AC10" s="505">
        <f t="shared" si="5"/>
        <v>1</v>
      </c>
    </row>
    <row r="11" spans="1:29" ht="15">
      <c r="A11" s="260"/>
      <c r="B11" s="258" t="s">
        <v>1596</v>
      </c>
      <c r="C11" s="261"/>
      <c r="D11" s="3142">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54"/>
      <c r="Q11" s="3273" t="str">
        <f t="shared" si="6"/>
        <v>容积率</v>
      </c>
      <c r="R11" s="4071" t="s">
        <v>13</v>
      </c>
      <c r="S11" s="4074">
        <f t="shared" si="0"/>
        <v>100</v>
      </c>
      <c r="T11" s="4071" t="s">
        <v>13</v>
      </c>
      <c r="U11" s="4074">
        <f t="shared" si="1"/>
        <v>100</v>
      </c>
      <c r="V11" s="4071" t="s">
        <v>13</v>
      </c>
      <c r="W11" s="4074">
        <f t="shared" si="2"/>
        <v>100</v>
      </c>
      <c r="X11" s="504"/>
      <c r="Y11" s="4879"/>
      <c r="Z11" s="28" t="str">
        <f t="shared" si="7"/>
        <v>容积率</v>
      </c>
      <c r="AA11" s="505">
        <f t="shared" si="3"/>
        <v>1</v>
      </c>
      <c r="AB11" s="505">
        <f t="shared" si="4"/>
        <v>1</v>
      </c>
      <c r="AC11" s="505">
        <f t="shared" si="5"/>
        <v>1</v>
      </c>
    </row>
    <row r="12" spans="1:29" s="49" customFormat="1" ht="15">
      <c r="A12" s="263"/>
      <c r="B12" s="1462">
        <v>111</v>
      </c>
      <c r="C12" s="264"/>
      <c r="D12" s="3143">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54"/>
      <c r="Q12" s="3273">
        <f t="shared" si="6"/>
        <v>111</v>
      </c>
      <c r="R12" s="4071" t="s">
        <v>13</v>
      </c>
      <c r="S12" s="4074">
        <f t="shared" si="0"/>
        <v>100</v>
      </c>
      <c r="T12" s="4071" t="s">
        <v>13</v>
      </c>
      <c r="U12" s="4074">
        <f t="shared" si="1"/>
        <v>100</v>
      </c>
      <c r="V12" s="4071" t="s">
        <v>13</v>
      </c>
      <c r="W12" s="4074">
        <f t="shared" si="2"/>
        <v>100</v>
      </c>
      <c r="X12" s="504"/>
      <c r="Y12" s="4879"/>
      <c r="Z12" s="28">
        <f t="shared" si="7"/>
        <v>111</v>
      </c>
      <c r="AA12" s="505">
        <f>D12/F12</f>
        <v>1</v>
      </c>
      <c r="AB12" s="505">
        <f>D12/H12</f>
        <v>1</v>
      </c>
      <c r="AC12" s="505">
        <f>D12/J12</f>
        <v>1</v>
      </c>
    </row>
    <row r="13" spans="1:29" ht="15">
      <c r="A13" s="260"/>
      <c r="B13" s="1462">
        <v>111</v>
      </c>
      <c r="C13" s="265"/>
      <c r="D13" s="3144">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54"/>
      <c r="Q13" s="3273">
        <f t="shared" si="6"/>
        <v>111</v>
      </c>
      <c r="R13" s="4071" t="s">
        <v>13</v>
      </c>
      <c r="S13" s="4074">
        <f t="shared" si="0"/>
        <v>100</v>
      </c>
      <c r="T13" s="4071" t="s">
        <v>13</v>
      </c>
      <c r="U13" s="4074">
        <f t="shared" si="1"/>
        <v>100</v>
      </c>
      <c r="V13" s="4071" t="s">
        <v>13</v>
      </c>
      <c r="W13" s="4074">
        <f t="shared" si="2"/>
        <v>100</v>
      </c>
      <c r="X13" s="504"/>
      <c r="Y13" s="4879"/>
      <c r="Z13" s="28">
        <f t="shared" si="7"/>
        <v>111</v>
      </c>
      <c r="AA13" s="505">
        <f t="shared" si="3"/>
        <v>1</v>
      </c>
      <c r="AB13" s="505">
        <f t="shared" si="4"/>
        <v>1</v>
      </c>
      <c r="AC13" s="505">
        <f t="shared" si="5"/>
        <v>1</v>
      </c>
    </row>
    <row r="14" spans="1:29" ht="15.6" thickBot="1">
      <c r="A14" s="266"/>
      <c r="B14" s="1463">
        <v>111</v>
      </c>
      <c r="C14" s="267"/>
      <c r="D14" s="3145">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54"/>
      <c r="Q14" s="3273">
        <f t="shared" si="6"/>
        <v>111</v>
      </c>
      <c r="R14" s="4071" t="s">
        <v>13</v>
      </c>
      <c r="S14" s="4074">
        <f t="shared" si="0"/>
        <v>100</v>
      </c>
      <c r="T14" s="4071" t="s">
        <v>13</v>
      </c>
      <c r="U14" s="4074">
        <f t="shared" si="1"/>
        <v>100</v>
      </c>
      <c r="V14" s="4071" t="s">
        <v>13</v>
      </c>
      <c r="W14" s="4074">
        <f t="shared" si="2"/>
        <v>100</v>
      </c>
      <c r="X14" s="504"/>
      <c r="Y14" s="4879"/>
      <c r="Z14" s="28">
        <f t="shared" si="7"/>
        <v>111</v>
      </c>
      <c r="AA14" s="505">
        <f t="shared" si="3"/>
        <v>1</v>
      </c>
      <c r="AB14" s="505">
        <f t="shared" si="4"/>
        <v>1</v>
      </c>
      <c r="AC14" s="505">
        <f t="shared" si="5"/>
        <v>1</v>
      </c>
    </row>
    <row r="15" spans="1:29" ht="69">
      <c r="A15" s="268" t="s">
        <v>1597</v>
      </c>
      <c r="B15" s="32" t="s">
        <v>1734</v>
      </c>
      <c r="C15" s="1530" t="str">
        <f>估价对象房地状况!G3</f>
        <v>估价对象位于XX开发区，园区建设成熟度XX，产业集聚程度XX</v>
      </c>
      <c r="D15" s="3146">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1" t="s">
        <v>1598</v>
      </c>
      <c r="Q15" s="3276" t="str">
        <f t="shared" si="6"/>
        <v>产业集聚程度</v>
      </c>
      <c r="R15" s="4072" t="s">
        <v>13</v>
      </c>
      <c r="S15" s="4075">
        <f t="shared" si="0"/>
        <v>100</v>
      </c>
      <c r="T15" s="4072" t="s">
        <v>13</v>
      </c>
      <c r="U15" s="4075">
        <f t="shared" si="1"/>
        <v>100</v>
      </c>
      <c r="V15" s="4072" t="s">
        <v>13</v>
      </c>
      <c r="W15" s="4075">
        <f t="shared" si="2"/>
        <v>100</v>
      </c>
      <c r="X15" s="963"/>
      <c r="Y15" s="4875" t="s">
        <v>1598</v>
      </c>
      <c r="Z15" s="964" t="str">
        <f t="shared" si="7"/>
        <v>产业集聚程度</v>
      </c>
      <c r="AA15" s="961">
        <f t="shared" si="3"/>
        <v>1</v>
      </c>
      <c r="AB15" s="961">
        <f t="shared" si="4"/>
        <v>1</v>
      </c>
      <c r="AC15" s="961">
        <f t="shared" si="5"/>
        <v>1</v>
      </c>
    </row>
    <row r="16" spans="1:29" ht="15">
      <c r="A16" s="260"/>
      <c r="B16" s="271"/>
      <c r="C16" s="272"/>
      <c r="D16" s="3147"/>
      <c r="E16" s="272"/>
      <c r="F16" s="4067"/>
      <c r="G16" s="272"/>
      <c r="H16" s="274"/>
      <c r="I16" s="272"/>
      <c r="J16" s="273"/>
      <c r="K16" s="411"/>
      <c r="L16" s="635"/>
      <c r="M16" s="626"/>
      <c r="N16" s="626"/>
      <c r="O16" s="634"/>
      <c r="P16" s="5012"/>
      <c r="Q16" s="3276"/>
      <c r="R16" s="4072"/>
      <c r="S16" s="4075"/>
      <c r="T16" s="4072"/>
      <c r="U16" s="4075"/>
      <c r="V16" s="4072"/>
      <c r="W16" s="4075"/>
      <c r="X16" s="963"/>
      <c r="Y16" s="4876"/>
      <c r="Z16" s="964"/>
      <c r="AA16" s="961">
        <v>1</v>
      </c>
      <c r="AB16" s="961">
        <v>1</v>
      </c>
      <c r="AC16" s="961">
        <v>1</v>
      </c>
    </row>
    <row r="17" spans="1:29" ht="96.6">
      <c r="A17" s="260"/>
      <c r="B17" s="275" t="s">
        <v>1237</v>
      </c>
      <c r="C17" s="1466" t="str">
        <f>估价对象房地状况!G4</f>
        <v>估价对象周边道路状况、公共交通通达情况、停车便捷程度，综合评价交通便捷度较好</v>
      </c>
      <c r="D17" s="3148">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2"/>
      <c r="Q17" s="3276" t="str">
        <f>B17</f>
        <v>交通便捷度</v>
      </c>
      <c r="R17" s="4072" t="s">
        <v>13</v>
      </c>
      <c r="S17" s="4075">
        <f>F17</f>
        <v>100</v>
      </c>
      <c r="T17" s="4072" t="s">
        <v>13</v>
      </c>
      <c r="U17" s="4075">
        <f>H17</f>
        <v>100</v>
      </c>
      <c r="V17" s="4072" t="s">
        <v>13</v>
      </c>
      <c r="W17" s="4075">
        <f>J17</f>
        <v>100</v>
      </c>
      <c r="X17" s="963"/>
      <c r="Y17" s="4876"/>
      <c r="Z17" s="964" t="str">
        <f>Q17</f>
        <v>交通便捷度</v>
      </c>
      <c r="AA17" s="961">
        <f t="shared" si="3"/>
        <v>1</v>
      </c>
      <c r="AB17" s="961">
        <f t="shared" si="4"/>
        <v>1</v>
      </c>
      <c r="AC17" s="961">
        <f t="shared" si="5"/>
        <v>1</v>
      </c>
    </row>
    <row r="18" spans="1:29" ht="15">
      <c r="A18" s="260"/>
      <c r="B18" s="278"/>
      <c r="C18" s="1467"/>
      <c r="D18" s="3148"/>
      <c r="E18" s="1469"/>
      <c r="F18" s="4068"/>
      <c r="G18" s="1468"/>
      <c r="H18" s="273"/>
      <c r="I18" s="1469"/>
      <c r="J18" s="273"/>
      <c r="K18" s="411"/>
      <c r="L18" s="635"/>
      <c r="M18" s="626"/>
      <c r="N18" s="626"/>
      <c r="O18" s="634"/>
      <c r="P18" s="5012"/>
      <c r="Q18" s="3276"/>
      <c r="R18" s="4072"/>
      <c r="S18" s="4075"/>
      <c r="T18" s="4072"/>
      <c r="U18" s="4075"/>
      <c r="V18" s="4072"/>
      <c r="W18" s="4075"/>
      <c r="X18" s="963"/>
      <c r="Y18" s="4876"/>
      <c r="Z18" s="964"/>
      <c r="AA18" s="961">
        <v>1</v>
      </c>
      <c r="AB18" s="961">
        <v>1</v>
      </c>
      <c r="AC18" s="961">
        <v>1</v>
      </c>
    </row>
    <row r="19" spans="1:29" ht="41.4">
      <c r="A19" s="260"/>
      <c r="B19" s="275" t="s">
        <v>1719</v>
      </c>
      <c r="C19" s="1466" t="str">
        <f>估价对象房地状况!G5</f>
        <v>估价对象所在区域公共配套设施齐备情况</v>
      </c>
      <c r="D19" s="3149">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2"/>
      <c r="Q19" s="3276" t="str">
        <f>B19</f>
        <v>公共配套设施</v>
      </c>
      <c r="R19" s="4072" t="s">
        <v>13</v>
      </c>
      <c r="S19" s="4075">
        <f>F19</f>
        <v>100</v>
      </c>
      <c r="T19" s="4072" t="s">
        <v>13</v>
      </c>
      <c r="U19" s="4075">
        <f>H19</f>
        <v>100</v>
      </c>
      <c r="V19" s="4072" t="s">
        <v>13</v>
      </c>
      <c r="W19" s="4075">
        <f>J19</f>
        <v>100</v>
      </c>
      <c r="X19" s="963"/>
      <c r="Y19" s="4876"/>
      <c r="Z19" s="964" t="str">
        <f>Q19</f>
        <v>公共配套设施</v>
      </c>
      <c r="AA19" s="961">
        <f t="shared" si="3"/>
        <v>1</v>
      </c>
      <c r="AB19" s="961">
        <f t="shared" si="4"/>
        <v>1</v>
      </c>
      <c r="AC19" s="961">
        <f t="shared" si="5"/>
        <v>1</v>
      </c>
    </row>
    <row r="20" spans="1:29" ht="15">
      <c r="A20" s="260"/>
      <c r="B20" s="278"/>
      <c r="C20" s="272"/>
      <c r="D20" s="3147"/>
      <c r="E20" s="1465"/>
      <c r="F20" s="4067"/>
      <c r="G20" s="1464"/>
      <c r="H20" s="273"/>
      <c r="I20" s="1465"/>
      <c r="J20" s="273"/>
      <c r="K20" s="411"/>
      <c r="L20" s="635"/>
      <c r="M20" s="626"/>
      <c r="N20" s="626"/>
      <c r="O20" s="634"/>
      <c r="P20" s="5012"/>
      <c r="Q20" s="3276"/>
      <c r="R20" s="4072"/>
      <c r="S20" s="4075"/>
      <c r="T20" s="4072"/>
      <c r="U20" s="4075"/>
      <c r="V20" s="4072"/>
      <c r="W20" s="4075"/>
      <c r="X20" s="963"/>
      <c r="Y20" s="4876"/>
      <c r="Z20" s="964"/>
      <c r="AA20" s="961">
        <v>1</v>
      </c>
      <c r="AB20" s="961">
        <v>1</v>
      </c>
      <c r="AC20" s="961">
        <v>1</v>
      </c>
    </row>
    <row r="21" spans="1:29" ht="41.4">
      <c r="A21" s="260"/>
      <c r="B21" s="800" t="s">
        <v>1720</v>
      </c>
      <c r="C21" s="1466" t="str">
        <f>估价对象房地状况!G6</f>
        <v>估价对象所在区域基础设施水平</v>
      </c>
      <c r="D21" s="3148">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2"/>
      <c r="Q21" s="3276" t="str">
        <f>B21</f>
        <v>基础设施水平</v>
      </c>
      <c r="R21" s="4072" t="s">
        <v>13</v>
      </c>
      <c r="S21" s="4075">
        <f>F21</f>
        <v>100</v>
      </c>
      <c r="T21" s="4072" t="s">
        <v>13</v>
      </c>
      <c r="U21" s="4075">
        <f>H21</f>
        <v>100</v>
      </c>
      <c r="V21" s="4072" t="s">
        <v>13</v>
      </c>
      <c r="W21" s="4075">
        <f>J21</f>
        <v>100</v>
      </c>
      <c r="X21" s="963"/>
      <c r="Y21" s="4876"/>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7"/>
      <c r="G22" s="272"/>
      <c r="H22" s="273"/>
      <c r="I22" s="272"/>
      <c r="J22" s="273"/>
      <c r="K22" s="799"/>
      <c r="L22" s="635"/>
      <c r="M22" s="626"/>
      <c r="N22" s="626"/>
      <c r="O22" s="634"/>
      <c r="P22" s="5012"/>
      <c r="Q22" s="3276"/>
      <c r="R22" s="4072"/>
      <c r="S22" s="4075"/>
      <c r="T22" s="4072"/>
      <c r="U22" s="4075"/>
      <c r="V22" s="4072"/>
      <c r="W22" s="4075"/>
      <c r="X22" s="963"/>
      <c r="Y22" s="4876"/>
      <c r="Z22" s="964"/>
      <c r="AA22" s="961">
        <v>1</v>
      </c>
      <c r="AB22" s="961">
        <v>1</v>
      </c>
      <c r="AC22" s="961">
        <v>1</v>
      </c>
    </row>
    <row r="23" spans="1:29" ht="82.8">
      <c r="A23" s="260"/>
      <c r="B23" s="275" t="s">
        <v>1721</v>
      </c>
      <c r="C23" s="1466" t="str">
        <f>估价对象房地状况!G7</f>
        <v>该园区内是否有污染型企业，绿化情况，卫生条件，整体环境状况判断</v>
      </c>
      <c r="D23" s="3148">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2"/>
      <c r="Q23" s="3276" t="str">
        <f>B23</f>
        <v>环境质量</v>
      </c>
      <c r="R23" s="4072" t="s">
        <v>13</v>
      </c>
      <c r="S23" s="4075">
        <f>F23</f>
        <v>100</v>
      </c>
      <c r="T23" s="4072" t="s">
        <v>13</v>
      </c>
      <c r="U23" s="4075">
        <f>H23</f>
        <v>100</v>
      </c>
      <c r="V23" s="4072" t="s">
        <v>13</v>
      </c>
      <c r="W23" s="4075">
        <f>J23</f>
        <v>100</v>
      </c>
      <c r="X23" s="963"/>
      <c r="Y23" s="4876"/>
      <c r="Z23" s="964" t="str">
        <f>Q23</f>
        <v>环境质量</v>
      </c>
      <c r="AA23" s="961">
        <f t="shared" si="3"/>
        <v>1</v>
      </c>
      <c r="AB23" s="961">
        <f t="shared" si="4"/>
        <v>1</v>
      </c>
      <c r="AC23" s="961">
        <f t="shared" si="5"/>
        <v>1</v>
      </c>
    </row>
    <row r="24" spans="1:29" ht="15">
      <c r="A24" s="260"/>
      <c r="B24" s="800"/>
      <c r="C24" s="272"/>
      <c r="D24" s="3147"/>
      <c r="E24" s="1465"/>
      <c r="F24" s="4067"/>
      <c r="G24" s="1464"/>
      <c r="H24" s="273"/>
      <c r="I24" s="1465"/>
      <c r="J24" s="273"/>
      <c r="K24" s="411"/>
      <c r="L24" s="635"/>
      <c r="M24" s="626"/>
      <c r="N24" s="626"/>
      <c r="O24" s="634"/>
      <c r="P24" s="5012"/>
      <c r="Q24" s="3276"/>
      <c r="R24" s="4072"/>
      <c r="S24" s="4075"/>
      <c r="T24" s="4072"/>
      <c r="U24" s="4075"/>
      <c r="V24" s="4072"/>
      <c r="W24" s="4075"/>
      <c r="X24" s="963"/>
      <c r="Y24" s="4876"/>
      <c r="Z24" s="964"/>
      <c r="AA24" s="961">
        <v>1</v>
      </c>
      <c r="AB24" s="961">
        <v>1</v>
      </c>
      <c r="AC24" s="961">
        <v>1</v>
      </c>
    </row>
    <row r="25" spans="1:29" ht="15">
      <c r="A25" s="244"/>
      <c r="B25" s="802">
        <v>111</v>
      </c>
      <c r="C25" s="265">
        <v>111</v>
      </c>
      <c r="D25" s="3144">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2"/>
      <c r="Q25" s="3276">
        <f>B25</f>
        <v>111</v>
      </c>
      <c r="R25" s="4072" t="s">
        <v>13</v>
      </c>
      <c r="S25" s="4075">
        <f>F25</f>
        <v>100</v>
      </c>
      <c r="T25" s="4072" t="s">
        <v>13</v>
      </c>
      <c r="U25" s="4075">
        <f>H25</f>
        <v>100</v>
      </c>
      <c r="V25" s="4072" t="s">
        <v>13</v>
      </c>
      <c r="W25" s="4075">
        <f>J25</f>
        <v>100</v>
      </c>
      <c r="X25" s="963"/>
      <c r="Y25" s="4876"/>
      <c r="Z25" s="964">
        <f>Q25</f>
        <v>111</v>
      </c>
      <c r="AA25" s="961">
        <f t="shared" si="3"/>
        <v>1</v>
      </c>
      <c r="AB25" s="961">
        <f t="shared" si="4"/>
        <v>1</v>
      </c>
      <c r="AC25" s="961">
        <f t="shared" si="5"/>
        <v>1</v>
      </c>
    </row>
    <row r="26" spans="1:29" ht="15">
      <c r="A26" s="260"/>
      <c r="B26" s="802">
        <v>111</v>
      </c>
      <c r="C26" s="265">
        <v>111</v>
      </c>
      <c r="D26" s="3144">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2"/>
      <c r="Q26" s="3276">
        <f t="shared" ref="Q26:Q40" si="11">B26</f>
        <v>111</v>
      </c>
      <c r="R26" s="4072" t="s">
        <v>13</v>
      </c>
      <c r="S26" s="4075">
        <f>F26</f>
        <v>100</v>
      </c>
      <c r="T26" s="4072" t="s">
        <v>13</v>
      </c>
      <c r="U26" s="4075">
        <f>H26</f>
        <v>100</v>
      </c>
      <c r="V26" s="4072" t="s">
        <v>13</v>
      </c>
      <c r="W26" s="4075">
        <f>J26</f>
        <v>100</v>
      </c>
      <c r="X26" s="963"/>
      <c r="Y26" s="4876"/>
      <c r="Z26" s="964">
        <f>Q26</f>
        <v>111</v>
      </c>
      <c r="AA26" s="961">
        <f t="shared" si="3"/>
        <v>1</v>
      </c>
      <c r="AB26" s="961">
        <f t="shared" si="4"/>
        <v>1</v>
      </c>
      <c r="AC26" s="961">
        <f t="shared" si="5"/>
        <v>1</v>
      </c>
    </row>
    <row r="27" spans="1:29" s="49" customFormat="1" ht="15">
      <c r="A27" s="263"/>
      <c r="B27" s="802">
        <v>111</v>
      </c>
      <c r="C27" s="265">
        <v>111</v>
      </c>
      <c r="D27" s="3150">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2"/>
      <c r="Q27" s="3273">
        <f t="shared" si="11"/>
        <v>111</v>
      </c>
      <c r="R27" s="4071" t="s">
        <v>13</v>
      </c>
      <c r="S27" s="4074">
        <f>F27</f>
        <v>100</v>
      </c>
      <c r="T27" s="4071" t="s">
        <v>13</v>
      </c>
      <c r="U27" s="4074">
        <f>H27</f>
        <v>100</v>
      </c>
      <c r="V27" s="4071" t="s">
        <v>13</v>
      </c>
      <c r="W27" s="4074">
        <f>J27</f>
        <v>100</v>
      </c>
      <c r="X27" s="504"/>
      <c r="Y27" s="4876"/>
      <c r="Z27" s="28">
        <f>Q27</f>
        <v>111</v>
      </c>
      <c r="AA27" s="961">
        <f>D27/F27</f>
        <v>1</v>
      </c>
      <c r="AB27" s="961">
        <f>D27/H27</f>
        <v>1</v>
      </c>
      <c r="AC27" s="961">
        <f>D27/J27</f>
        <v>1</v>
      </c>
    </row>
    <row r="28" spans="1:29" ht="15.6" thickBot="1">
      <c r="A28" s="266"/>
      <c r="B28" s="802">
        <v>111</v>
      </c>
      <c r="C28" s="267">
        <v>111</v>
      </c>
      <c r="D28" s="3145">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2"/>
      <c r="Q28" s="3276">
        <f t="shared" si="11"/>
        <v>111</v>
      </c>
      <c r="R28" s="4072" t="s">
        <v>13</v>
      </c>
      <c r="S28" s="4075">
        <f t="shared" ref="S28:S40" si="12">F28</f>
        <v>100</v>
      </c>
      <c r="T28" s="4072" t="s">
        <v>13</v>
      </c>
      <c r="U28" s="4075">
        <f t="shared" ref="U28:U40" si="13">H28</f>
        <v>100</v>
      </c>
      <c r="V28" s="4072" t="s">
        <v>13</v>
      </c>
      <c r="W28" s="4075">
        <f t="shared" ref="W28:W40" si="14">J28</f>
        <v>100</v>
      </c>
      <c r="X28" s="963"/>
      <c r="Y28" s="4876"/>
      <c r="Z28" s="964">
        <f t="shared" ref="Z28:Z40" si="15">Q28</f>
        <v>111</v>
      </c>
      <c r="AA28" s="961">
        <f t="shared" si="3"/>
        <v>1</v>
      </c>
      <c r="AB28" s="961">
        <f t="shared" si="4"/>
        <v>1</v>
      </c>
      <c r="AC28" s="961">
        <f t="shared" si="5"/>
        <v>1</v>
      </c>
    </row>
    <row r="29" spans="1:29" ht="30">
      <c r="A29" s="282" t="s">
        <v>1601</v>
      </c>
      <c r="B29" s="34" t="s">
        <v>1724</v>
      </c>
      <c r="C29" s="1526"/>
      <c r="D29" s="3151">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5013" t="s">
        <v>1603</v>
      </c>
      <c r="Q29" s="3276" t="str">
        <f t="shared" si="11"/>
        <v>建筑类型</v>
      </c>
      <c r="R29" s="4072" t="s">
        <v>13</v>
      </c>
      <c r="S29" s="4075">
        <f t="shared" si="12"/>
        <v>100</v>
      </c>
      <c r="T29" s="4072" t="s">
        <v>13</v>
      </c>
      <c r="U29" s="4075">
        <f t="shared" si="13"/>
        <v>100</v>
      </c>
      <c r="V29" s="4072" t="s">
        <v>13</v>
      </c>
      <c r="W29" s="4075">
        <f t="shared" si="14"/>
        <v>100</v>
      </c>
      <c r="X29" s="963"/>
      <c r="Y29" s="4878"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4"/>
      <c r="Q30" s="3106" t="str">
        <f t="shared" si="11"/>
        <v>项目建筑规模</v>
      </c>
      <c r="R30" s="4073" t="s">
        <v>13</v>
      </c>
      <c r="S30" s="4076" t="e">
        <f t="shared" si="12"/>
        <v>#N/A</v>
      </c>
      <c r="T30" s="4073" t="s">
        <v>13</v>
      </c>
      <c r="U30" s="4076" t="e">
        <f t="shared" si="13"/>
        <v>#N/A</v>
      </c>
      <c r="V30" s="4073" t="s">
        <v>13</v>
      </c>
      <c r="W30" s="4076" t="e">
        <f t="shared" si="14"/>
        <v>#N/A</v>
      </c>
      <c r="X30" s="507"/>
      <c r="Y30" s="4878"/>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4"/>
      <c r="Q31" s="3276" t="str">
        <f t="shared" si="11"/>
        <v>建筑结构</v>
      </c>
      <c r="R31" s="4072" t="s">
        <v>13</v>
      </c>
      <c r="S31" s="4075">
        <f t="shared" si="12"/>
        <v>100</v>
      </c>
      <c r="T31" s="4072" t="s">
        <v>13</v>
      </c>
      <c r="U31" s="4075">
        <f t="shared" si="13"/>
        <v>100</v>
      </c>
      <c r="V31" s="4072" t="s">
        <v>13</v>
      </c>
      <c r="W31" s="4075">
        <f t="shared" si="14"/>
        <v>100</v>
      </c>
      <c r="X31" s="963"/>
      <c r="Y31" s="4878"/>
      <c r="Z31" s="964" t="str">
        <f t="shared" si="15"/>
        <v>建筑结构</v>
      </c>
      <c r="AA31" s="961">
        <f t="shared" si="3"/>
        <v>1</v>
      </c>
      <c r="AB31" s="961">
        <f t="shared" si="4"/>
        <v>1</v>
      </c>
      <c r="AC31" s="961">
        <f t="shared" si="5"/>
        <v>1</v>
      </c>
    </row>
    <row r="32" spans="1:29" ht="15">
      <c r="A32" s="286"/>
      <c r="B32" s="258" t="s">
        <v>1692</v>
      </c>
      <c r="C32" s="281"/>
      <c r="D32" s="3144">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4"/>
      <c r="Q32" s="3276" t="str">
        <f t="shared" si="11"/>
        <v>公共部分装修</v>
      </c>
      <c r="R32" s="4072" t="s">
        <v>13</v>
      </c>
      <c r="S32" s="4075">
        <f t="shared" si="12"/>
        <v>100</v>
      </c>
      <c r="T32" s="4072" t="s">
        <v>13</v>
      </c>
      <c r="U32" s="4075">
        <f t="shared" si="13"/>
        <v>100</v>
      </c>
      <c r="V32" s="4072" t="s">
        <v>13</v>
      </c>
      <c r="W32" s="4075">
        <f t="shared" si="14"/>
        <v>100</v>
      </c>
      <c r="X32" s="963"/>
      <c r="Y32" s="4878"/>
      <c r="Z32" s="964" t="str">
        <f t="shared" si="15"/>
        <v>公共部分装修</v>
      </c>
      <c r="AA32" s="961">
        <f t="shared" si="3"/>
        <v>1</v>
      </c>
      <c r="AB32" s="961">
        <f t="shared" si="4"/>
        <v>1</v>
      </c>
      <c r="AC32" s="961">
        <f t="shared" si="5"/>
        <v>1</v>
      </c>
    </row>
    <row r="33" spans="1:29" ht="15">
      <c r="A33" s="286"/>
      <c r="B33" s="258" t="s">
        <v>1693</v>
      </c>
      <c r="C33" s="284"/>
      <c r="D33" s="3144">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4"/>
      <c r="Q33" s="3276" t="str">
        <f t="shared" si="11"/>
        <v>成新度</v>
      </c>
      <c r="R33" s="4072" t="s">
        <v>13</v>
      </c>
      <c r="S33" s="4075" t="e">
        <f t="shared" si="12"/>
        <v>#N/A</v>
      </c>
      <c r="T33" s="4072" t="s">
        <v>13</v>
      </c>
      <c r="U33" s="4075" t="e">
        <f t="shared" si="13"/>
        <v>#N/A</v>
      </c>
      <c r="V33" s="4072" t="s">
        <v>13</v>
      </c>
      <c r="W33" s="4075" t="e">
        <f t="shared" si="14"/>
        <v>#N/A</v>
      </c>
      <c r="X33" s="963"/>
      <c r="Y33" s="4878"/>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4"/>
      <c r="Q34" s="3273" t="str">
        <f t="shared" si="11"/>
        <v>物业管理</v>
      </c>
      <c r="R34" s="4071" t="s">
        <v>13</v>
      </c>
      <c r="S34" s="4074">
        <f t="shared" si="12"/>
        <v>100</v>
      </c>
      <c r="T34" s="4071" t="s">
        <v>13</v>
      </c>
      <c r="U34" s="4074">
        <f t="shared" si="13"/>
        <v>100</v>
      </c>
      <c r="V34" s="4071" t="s">
        <v>13</v>
      </c>
      <c r="W34" s="4074">
        <f t="shared" si="14"/>
        <v>100</v>
      </c>
      <c r="X34" s="504"/>
      <c r="Y34" s="4878"/>
      <c r="Z34" s="28" t="str">
        <f t="shared" si="15"/>
        <v>物业管理</v>
      </c>
      <c r="AA34" s="505">
        <f t="shared" si="3"/>
        <v>1</v>
      </c>
      <c r="AB34" s="505">
        <f t="shared" si="4"/>
        <v>1</v>
      </c>
      <c r="AC34" s="505">
        <f t="shared" si="5"/>
        <v>1</v>
      </c>
    </row>
    <row r="35" spans="1:29" ht="15">
      <c r="A35" s="286"/>
      <c r="B35" s="258" t="s">
        <v>1694</v>
      </c>
      <c r="C35" s="281"/>
      <c r="D35" s="3144">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4" t="s">
        <v>1603</v>
      </c>
      <c r="Q35" s="3276" t="str">
        <f t="shared" si="11"/>
        <v>市政基础设施</v>
      </c>
      <c r="R35" s="4072" t="s">
        <v>13</v>
      </c>
      <c r="S35" s="4075">
        <f t="shared" si="12"/>
        <v>100</v>
      </c>
      <c r="T35" s="4072" t="s">
        <v>13</v>
      </c>
      <c r="U35" s="4075">
        <f t="shared" si="13"/>
        <v>100</v>
      </c>
      <c r="V35" s="4072" t="s">
        <v>13</v>
      </c>
      <c r="W35" s="4075">
        <f t="shared" si="14"/>
        <v>100</v>
      </c>
      <c r="X35" s="963"/>
      <c r="Y35" s="4878"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4"/>
      <c r="Q36" s="3276" t="str">
        <f t="shared" si="11"/>
        <v>内部装修</v>
      </c>
      <c r="R36" s="4072" t="s">
        <v>13</v>
      </c>
      <c r="S36" s="4075">
        <f t="shared" si="12"/>
        <v>100</v>
      </c>
      <c r="T36" s="4072" t="s">
        <v>13</v>
      </c>
      <c r="U36" s="4075">
        <f t="shared" si="13"/>
        <v>100</v>
      </c>
      <c r="V36" s="4072" t="s">
        <v>13</v>
      </c>
      <c r="W36" s="4075">
        <f t="shared" si="14"/>
        <v>100</v>
      </c>
      <c r="X36" s="963"/>
      <c r="Y36" s="4878"/>
      <c r="Z36" s="964" t="str">
        <f t="shared" si="15"/>
        <v>内部装修</v>
      </c>
      <c r="AA36" s="961">
        <f t="shared" si="3"/>
        <v>1</v>
      </c>
      <c r="AB36" s="961">
        <f t="shared" si="4"/>
        <v>1</v>
      </c>
      <c r="AC36" s="961">
        <f t="shared" si="5"/>
        <v>1</v>
      </c>
    </row>
    <row r="37" spans="1:29" ht="15">
      <c r="A37" s="286"/>
      <c r="B37" s="258" t="s">
        <v>1735</v>
      </c>
      <c r="C37" s="412"/>
      <c r="D37" s="3144">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4"/>
      <c r="Q37" s="3276" t="str">
        <f t="shared" si="11"/>
        <v>内部装修状况</v>
      </c>
      <c r="R37" s="4072" t="s">
        <v>13</v>
      </c>
      <c r="S37" s="4075">
        <f t="shared" si="12"/>
        <v>100</v>
      </c>
      <c r="T37" s="4072" t="s">
        <v>13</v>
      </c>
      <c r="U37" s="4075">
        <f t="shared" si="13"/>
        <v>100</v>
      </c>
      <c r="V37" s="4072" t="s">
        <v>13</v>
      </c>
      <c r="W37" s="4075">
        <f t="shared" si="14"/>
        <v>100</v>
      </c>
      <c r="X37" s="963"/>
      <c r="Y37" s="4878"/>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4"/>
      <c r="Q38" s="3106">
        <f t="shared" si="11"/>
        <v>111</v>
      </c>
      <c r="R38" s="4073" t="s">
        <v>13</v>
      </c>
      <c r="S38" s="4076">
        <f t="shared" si="12"/>
        <v>100</v>
      </c>
      <c r="T38" s="4073" t="s">
        <v>13</v>
      </c>
      <c r="U38" s="4076">
        <f t="shared" si="13"/>
        <v>100</v>
      </c>
      <c r="V38" s="4073" t="s">
        <v>13</v>
      </c>
      <c r="W38" s="4076">
        <f t="shared" si="14"/>
        <v>100</v>
      </c>
      <c r="X38" s="507"/>
      <c r="Y38" s="4878"/>
      <c r="Z38" s="508">
        <f t="shared" si="15"/>
        <v>111</v>
      </c>
      <c r="AA38" s="961">
        <f t="shared" si="3"/>
        <v>1</v>
      </c>
      <c r="AB38" s="961">
        <f t="shared" si="4"/>
        <v>1</v>
      </c>
      <c r="AC38" s="961">
        <f t="shared" si="5"/>
        <v>1</v>
      </c>
    </row>
    <row r="39" spans="1:29" ht="15">
      <c r="A39" s="286"/>
      <c r="B39" s="802">
        <v>111</v>
      </c>
      <c r="C39" s="284"/>
      <c r="D39" s="3144">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4"/>
      <c r="Q39" s="3276">
        <f t="shared" si="11"/>
        <v>111</v>
      </c>
      <c r="R39" s="4072" t="s">
        <v>13</v>
      </c>
      <c r="S39" s="4075">
        <f t="shared" si="12"/>
        <v>100</v>
      </c>
      <c r="T39" s="4072" t="s">
        <v>13</v>
      </c>
      <c r="U39" s="4075">
        <f t="shared" si="13"/>
        <v>100</v>
      </c>
      <c r="V39" s="4072" t="s">
        <v>13</v>
      </c>
      <c r="W39" s="4075">
        <f t="shared" si="14"/>
        <v>100</v>
      </c>
      <c r="X39" s="963"/>
      <c r="Y39" s="4878"/>
      <c r="Z39" s="964">
        <f t="shared" si="15"/>
        <v>111</v>
      </c>
      <c r="AA39" s="961">
        <f t="shared" si="3"/>
        <v>1</v>
      </c>
      <c r="AB39" s="961">
        <f t="shared" si="4"/>
        <v>1</v>
      </c>
      <c r="AC39" s="961">
        <f t="shared" si="5"/>
        <v>1</v>
      </c>
    </row>
    <row r="40" spans="1:29" ht="15.6" thickBot="1">
      <c r="A40" s="291"/>
      <c r="B40" s="1463">
        <v>111</v>
      </c>
      <c r="C40" s="267"/>
      <c r="D40" s="3145">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5"/>
      <c r="Q40" s="3276">
        <f t="shared" si="11"/>
        <v>111</v>
      </c>
      <c r="R40" s="4072" t="s">
        <v>13</v>
      </c>
      <c r="S40" s="4075">
        <f t="shared" si="12"/>
        <v>100</v>
      </c>
      <c r="T40" s="4072" t="s">
        <v>13</v>
      </c>
      <c r="U40" s="4075">
        <f t="shared" si="13"/>
        <v>100</v>
      </c>
      <c r="V40" s="4072" t="s">
        <v>13</v>
      </c>
      <c r="W40" s="4075">
        <f t="shared" si="14"/>
        <v>100</v>
      </c>
      <c r="X40" s="963"/>
      <c r="Y40" s="4959"/>
      <c r="Z40" s="964">
        <f t="shared" si="15"/>
        <v>111</v>
      </c>
      <c r="AA40" s="961">
        <f t="shared" si="3"/>
        <v>1</v>
      </c>
      <c r="AB40" s="961">
        <f t="shared" si="4"/>
        <v>1</v>
      </c>
      <c r="AC40" s="961">
        <f t="shared" si="5"/>
        <v>1</v>
      </c>
    </row>
    <row r="41" spans="1:29" ht="14.4">
      <c r="A41" s="292" t="s">
        <v>1615</v>
      </c>
      <c r="B41" s="293"/>
      <c r="C41" s="808" t="s">
        <v>0</v>
      </c>
      <c r="D41" s="809"/>
      <c r="E41" s="3457"/>
      <c r="F41" s="3459"/>
      <c r="G41" s="3458"/>
      <c r="H41" s="3460"/>
      <c r="I41" s="3457"/>
      <c r="J41" s="3460"/>
      <c r="K41" s="3104"/>
      <c r="L41" s="638"/>
      <c r="M41" s="639"/>
      <c r="N41" s="626"/>
      <c r="O41" s="639"/>
      <c r="P41" s="4954" t="str">
        <f>A41</f>
        <v>成交单价（元/平方米）</v>
      </c>
      <c r="Q41" s="4954"/>
      <c r="R41" s="4955">
        <f>E41</f>
        <v>0</v>
      </c>
      <c r="S41" s="4955"/>
      <c r="T41" s="4955">
        <f>G41</f>
        <v>0</v>
      </c>
      <c r="U41" s="4955"/>
      <c r="V41" s="4955">
        <f>I41</f>
        <v>0</v>
      </c>
      <c r="W41" s="4955"/>
      <c r="X41" s="493"/>
      <c r="Y41" s="509"/>
      <c r="Z41" s="493"/>
      <c r="AA41" s="493"/>
      <c r="AB41" s="493"/>
      <c r="AC41" s="493"/>
    </row>
    <row r="42" spans="1:29" ht="15" thickBot="1">
      <c r="A42" s="295" t="s">
        <v>1700</v>
      </c>
      <c r="B42" s="296"/>
      <c r="C42" s="4037" t="e">
        <f>R43</f>
        <v>#DIV/0!</v>
      </c>
      <c r="D42" s="4194" t="s">
        <v>2040</v>
      </c>
      <c r="E42" s="3127" t="e">
        <f>R42</f>
        <v>#DIV/0!</v>
      </c>
      <c r="F42" s="3042"/>
      <c r="G42" s="3126" t="e">
        <f>T42</f>
        <v>#DIV/0!</v>
      </c>
      <c r="H42" s="3042"/>
      <c r="I42" s="3127" t="e">
        <f>V42</f>
        <v>#DIV/0!</v>
      </c>
      <c r="J42" s="3042"/>
      <c r="K42" s="3097">
        <f>F42+H42+J42</f>
        <v>0</v>
      </c>
      <c r="L42" s="638"/>
      <c r="M42" s="639"/>
      <c r="N42" s="626"/>
      <c r="O42" s="639"/>
      <c r="P42" s="4954" t="str">
        <f>A42</f>
        <v>比较价值（元/平方米）</v>
      </c>
      <c r="Q42" s="4954"/>
      <c r="R42" s="4955" t="e">
        <f>IF(F1="售价",ROUND(PRODUCT(R41,AA7:AA40),0),ROUND(PRODUCT(R41,AA7:AA40),1))</f>
        <v>#DIV/0!</v>
      </c>
      <c r="S42" s="4955"/>
      <c r="T42" s="4955" t="e">
        <f>IF(F1="售价",ROUND(PRODUCT(T41,AB7:AB40),0),ROUND(PRODUCT(T41,AB7:AB40),1))</f>
        <v>#DIV/0!</v>
      </c>
      <c r="U42" s="4955"/>
      <c r="V42" s="4955" t="e">
        <f>IF(F1="售价",ROUND(PRODUCT(V41,AC7:AC40),0),ROUND(PRODUCT(V41,AC7:AC40),1))</f>
        <v>#DIV/0!</v>
      </c>
      <c r="W42" s="4955"/>
      <c r="X42" s="493"/>
      <c r="Y42" s="493"/>
      <c r="Z42" s="493"/>
      <c r="AA42" s="493"/>
      <c r="AB42" s="493"/>
      <c r="AC42" s="493"/>
    </row>
    <row r="43" spans="1:29" ht="15" thickBot="1">
      <c r="A43" s="297" t="s">
        <v>1701</v>
      </c>
      <c r="B43" s="298"/>
      <c r="C43" s="4049" t="e">
        <f>R43</f>
        <v>#DIV/0!</v>
      </c>
      <c r="D43" s="812"/>
      <c r="E43" s="812"/>
      <c r="F43" s="812"/>
      <c r="G43" s="812"/>
      <c r="H43" s="812"/>
      <c r="I43" s="812"/>
      <c r="J43" s="812"/>
      <c r="K43" s="511"/>
      <c r="L43" s="638"/>
      <c r="M43" s="639"/>
      <c r="N43" s="639"/>
      <c r="O43" s="639"/>
      <c r="P43" s="4951" t="str">
        <f>A43</f>
        <v>估价对象XX用房的比较价值（楼面单价，元/平方米）</v>
      </c>
      <c r="Q43" s="4952"/>
      <c r="R43" s="4953" t="e">
        <f>IF(F1="售价",ROUND(IF(D42="简单平均",AVERAGE(R42:V42),R42*F42+T42*H42+V42*J42),0),ROUND(IF(D42="简单平均",AVERAGE(R42:V42),R42*F42+T42*H42+V42*J42),1))</f>
        <v>#DIV/0!</v>
      </c>
      <c r="S43" s="4953"/>
      <c r="T43" s="4953"/>
      <c r="U43" s="4953"/>
      <c r="V43" s="4953"/>
      <c r="W43" s="4953"/>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2.2" thickBot="1">
      <c r="A51" s="497" t="s">
        <v>1705</v>
      </c>
      <c r="B51" s="493"/>
      <c r="C51" s="498"/>
      <c r="D51" s="498"/>
      <c r="E51" s="498"/>
      <c r="F51" s="499"/>
      <c r="G51" s="499"/>
      <c r="H51" s="498"/>
      <c r="I51" s="498"/>
      <c r="J51" s="498"/>
      <c r="K51" s="653"/>
      <c r="L51" s="654"/>
      <c r="M51" s="652"/>
      <c r="N51" s="652"/>
      <c r="O51" s="652"/>
      <c r="P51" s="3437"/>
      <c r="Q51" s="3438"/>
    </row>
    <row r="52" spans="1:23" s="311" customFormat="1" ht="14.4">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4.4">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4.4"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ht="14.4">
      <c r="A57" s="329" t="s">
        <v>1626</v>
      </c>
      <c r="B57" s="330" t="s">
        <v>1592</v>
      </c>
      <c r="C57" s="331">
        <f>C9</f>
        <v>0</v>
      </c>
      <c r="D57" s="332"/>
      <c r="E57" s="332"/>
      <c r="F57" s="332"/>
      <c r="G57" s="332"/>
      <c r="H57" s="332"/>
      <c r="I57" s="332"/>
      <c r="J57" s="332"/>
      <c r="K57" s="333"/>
      <c r="L57" s="334"/>
      <c r="M57" s="335"/>
      <c r="N57" s="645"/>
      <c r="O57" s="645"/>
      <c r="P57" s="3443"/>
      <c r="Q57" s="3438"/>
    </row>
    <row r="58" spans="1:23" ht="14.4" thickBot="1">
      <c r="A58" s="336"/>
      <c r="B58" s="337"/>
      <c r="C58" s="338">
        <v>100</v>
      </c>
      <c r="D58" s="338"/>
      <c r="E58" s="338"/>
      <c r="F58" s="338"/>
      <c r="G58" s="338"/>
      <c r="H58" s="338"/>
      <c r="I58" s="338"/>
      <c r="J58" s="338"/>
      <c r="K58" s="338"/>
      <c r="L58" s="338"/>
      <c r="M58" s="339"/>
      <c r="N58" s="646"/>
      <c r="O58" s="646"/>
      <c r="P58" s="3443"/>
      <c r="Q58" s="3438"/>
    </row>
    <row r="59" spans="1:23" ht="29.4" thickTop="1">
      <c r="A59" s="336"/>
      <c r="B59" s="340" t="s">
        <v>1595</v>
      </c>
      <c r="C59" s="382"/>
      <c r="D59" s="382"/>
      <c r="E59" s="382"/>
      <c r="F59" s="382"/>
      <c r="G59" s="382"/>
      <c r="H59" s="382"/>
      <c r="I59" s="382"/>
      <c r="J59" s="382"/>
      <c r="K59" s="383"/>
      <c r="L59" s="384"/>
      <c r="M59" s="385"/>
      <c r="N59" s="645"/>
      <c r="O59" s="645"/>
      <c r="P59" s="3443"/>
      <c r="Q59" s="3438"/>
    </row>
    <row r="60" spans="1:23" ht="15" thickBot="1">
      <c r="A60" s="336"/>
      <c r="B60" s="345" t="s">
        <v>3873</v>
      </c>
      <c r="C60" s="338"/>
      <c r="D60" s="338"/>
      <c r="E60" s="338"/>
      <c r="F60" s="338"/>
      <c r="G60" s="338"/>
      <c r="H60" s="338"/>
      <c r="I60" s="338"/>
      <c r="J60" s="338"/>
      <c r="K60" s="338"/>
      <c r="L60" s="338"/>
      <c r="M60" s="339"/>
      <c r="N60" s="646"/>
      <c r="O60" s="646"/>
      <c r="P60" s="3443"/>
      <c r="Q60" s="3438"/>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c r="A62" s="336"/>
      <c r="B62" s="350"/>
      <c r="C62" s="351">
        <v>0</v>
      </c>
      <c r="D62" s="351">
        <v>0.5</v>
      </c>
      <c r="E62" s="351">
        <v>1</v>
      </c>
      <c r="F62" s="351">
        <v>1.5</v>
      </c>
      <c r="G62" s="351">
        <v>2</v>
      </c>
      <c r="H62" s="351"/>
      <c r="I62" s="351"/>
      <c r="J62" s="351"/>
      <c r="K62" s="352"/>
      <c r="L62" s="353"/>
      <c r="M62" s="354"/>
      <c r="N62" s="645"/>
      <c r="O62" s="645"/>
      <c r="P62" s="3443"/>
      <c r="Q62" s="3438"/>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4.4"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4.4"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4.4"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4.4"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4.4"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4.4"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ht="14.4">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4.4"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4.4"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4.4"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4.4"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4.4"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4.4"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4.4" thickTop="1">
      <c r="A86" s="336"/>
      <c r="B86" s="348">
        <f>B28</f>
        <v>111</v>
      </c>
      <c r="C86" s="326"/>
      <c r="D86" s="326"/>
      <c r="E86" s="326"/>
      <c r="F86" s="326"/>
      <c r="G86" s="386"/>
      <c r="H86" s="386"/>
      <c r="I86" s="386"/>
      <c r="J86" s="386"/>
      <c r="K86" s="387"/>
      <c r="L86" s="388"/>
      <c r="M86" s="389"/>
      <c r="N86" s="645"/>
      <c r="O86" s="645"/>
      <c r="P86" s="3443"/>
      <c r="Q86" s="3438"/>
    </row>
    <row r="87" spans="1:23" ht="14.4" thickBot="1">
      <c r="A87" s="1487"/>
      <c r="B87" s="369"/>
      <c r="C87" s="370"/>
      <c r="D87" s="370"/>
      <c r="E87" s="370"/>
      <c r="F87" s="370"/>
      <c r="G87" s="390"/>
      <c r="H87" s="390"/>
      <c r="I87" s="390"/>
      <c r="J87" s="390"/>
      <c r="K87" s="390"/>
      <c r="L87" s="390"/>
      <c r="M87" s="391"/>
      <c r="N87" s="646"/>
      <c r="O87" s="646"/>
      <c r="P87" s="3443"/>
      <c r="Q87" s="3438"/>
    </row>
    <row r="88" spans="1:23" ht="14.4">
      <c r="A88" s="329" t="s">
        <v>1601</v>
      </c>
      <c r="B88" s="330" t="s">
        <v>1643</v>
      </c>
      <c r="C88" s="332"/>
      <c r="D88" s="332"/>
      <c r="E88" s="332"/>
      <c r="F88" s="332"/>
      <c r="G88" s="332"/>
      <c r="H88" s="332"/>
      <c r="I88" s="332"/>
      <c r="J88" s="332"/>
      <c r="K88" s="333"/>
      <c r="L88" s="334"/>
      <c r="M88" s="335"/>
      <c r="N88" s="645"/>
      <c r="O88" s="645"/>
      <c r="P88" s="3443"/>
      <c r="Q88" s="3438"/>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4.4"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4.4"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4.4"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4.4" thickTop="1">
      <c r="A110" s="398"/>
      <c r="B110" s="340">
        <f>B39</f>
        <v>111</v>
      </c>
      <c r="C110" s="356"/>
      <c r="D110" s="356"/>
      <c r="E110" s="356"/>
      <c r="F110" s="356"/>
      <c r="G110" s="356"/>
      <c r="H110" s="357"/>
      <c r="I110" s="357"/>
      <c r="J110" s="357"/>
      <c r="K110" s="357"/>
      <c r="L110" s="358"/>
      <c r="M110" s="359"/>
      <c r="N110" s="645"/>
      <c r="O110" s="645"/>
      <c r="P110" s="3443"/>
      <c r="Q110" s="3438"/>
    </row>
    <row r="111" spans="1:23" ht="14.4" thickBot="1">
      <c r="A111" s="336"/>
      <c r="B111" s="345"/>
      <c r="C111" s="361"/>
      <c r="D111" s="338"/>
      <c r="E111" s="338"/>
      <c r="F111" s="338"/>
      <c r="G111" s="361"/>
      <c r="H111" s="363"/>
      <c r="I111" s="363"/>
      <c r="J111" s="363"/>
      <c r="K111" s="363"/>
      <c r="L111" s="363"/>
      <c r="M111" s="364"/>
      <c r="N111" s="646"/>
      <c r="O111" s="646"/>
      <c r="P111" s="3443"/>
      <c r="Q111" s="3438"/>
    </row>
    <row r="112" spans="1:23" ht="14.4" thickTop="1">
      <c r="A112" s="398"/>
      <c r="B112" s="348">
        <f>B40</f>
        <v>111</v>
      </c>
      <c r="C112" s="326"/>
      <c r="D112" s="326"/>
      <c r="E112" s="326"/>
      <c r="F112" s="326"/>
      <c r="G112" s="386"/>
      <c r="H112" s="386"/>
      <c r="I112" s="386"/>
      <c r="J112" s="386"/>
      <c r="K112" s="326"/>
      <c r="L112" s="327"/>
      <c r="M112" s="389"/>
      <c r="N112" s="645"/>
      <c r="O112" s="645"/>
      <c r="P112" s="3443"/>
      <c r="Q112" s="3438"/>
    </row>
    <row r="113" spans="1:17" ht="14.4"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24" sqref="E24"/>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1833</v>
      </c>
      <c r="B1" s="96"/>
      <c r="C1" s="100" t="s">
        <v>1834</v>
      </c>
      <c r="D1" s="229">
        <f>SUM(D33:D34,D37:D42)</f>
        <v>42.16</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6">
      <c r="A2" s="100" t="s">
        <v>1841</v>
      </c>
      <c r="B2" s="2757" t="e">
        <f>C30</f>
        <v>#DIV/0!</v>
      </c>
      <c r="C2" s="1548" t="s">
        <v>1842</v>
      </c>
      <c r="D2" s="1549" t="s">
        <v>1843</v>
      </c>
      <c r="E2" s="2697" t="s">
        <v>3270</v>
      </c>
      <c r="F2" s="1549" t="s">
        <v>1844</v>
      </c>
      <c r="G2" s="3951" t="str">
        <f>IF(E2="商业",项目基本情况!B37,IF(E2="办公",项目基本情况!C37,IF(E2="住宅",项目基本情况!D37,IF(E2="工业",项目基本情况!E37,项目基本情况!F37))))</f>
        <v>七级</v>
      </c>
      <c r="H2" s="1549" t="s">
        <v>1845</v>
      </c>
      <c r="I2" s="3951" t="str">
        <f>IF(E2="商业",项目基本情况!B38,IF(E2="办公",项目基本情况!C38,IF(E2="住宅",项目基本情况!D38,IF(E2="工业",项目基本情况!E38,项目基本情况!F38))))</f>
        <v>Ⅶ-顺1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1.5019</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6">
      <c r="A3" s="102" t="s">
        <v>1847</v>
      </c>
      <c r="B3" s="2757" t="e">
        <f>ROUND(B2*10000/D1,0)</f>
        <v>#DIV/0!</v>
      </c>
      <c r="C3" s="1548" t="s">
        <v>1848</v>
      </c>
      <c r="D3" s="1549" t="s">
        <v>1849</v>
      </c>
      <c r="E3" s="2696" t="s">
        <v>3278</v>
      </c>
      <c r="F3" s="1552" t="s">
        <v>4074</v>
      </c>
      <c r="G3" s="4508">
        <f>IF(F3="宗地容积率",'数据-汇总表'!I4,IF(F3="估价对象容积率",'数据-汇总表'!I6,'数据-汇总表'!I7))</f>
        <v>2.5</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1.1838</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6">
      <c r="A4" s="3655" t="s">
        <v>3631</v>
      </c>
      <c r="B4" s="3654" t="e">
        <f>ROUND(B2*10000/F1,0)</f>
        <v>#DIV/0!</v>
      </c>
      <c r="C4" s="3653" t="s">
        <v>3632</v>
      </c>
      <c r="D4" s="3654" t="e">
        <f>ROUND(B2/(F1/666.67),0)</f>
        <v>#DIV/0!</v>
      </c>
      <c r="E4" s="3653" t="s">
        <v>3633</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1.0004999999999999</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6" thickBot="1">
      <c r="A5" s="1553" t="s">
        <v>356</v>
      </c>
      <c r="B5" s="1554" t="s">
        <v>1854</v>
      </c>
      <c r="C5" s="4499">
        <f>ROUND(IF(E2="商业",C6*C7*C17+C20,(IF(E2="住宅",C6*C13*C17+C20,IF(E2="办公",C6*C12*C17+C20,C6+C20)))),0)</f>
        <v>12330</v>
      </c>
      <c r="D5" s="3165">
        <f>ROUND(C6*C17+C20,0)</f>
        <v>12330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0.88239999999999996</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6" thickBot="1">
      <c r="A6" s="1563" t="s">
        <v>1856</v>
      </c>
      <c r="B6" s="1564" t="s">
        <v>1857</v>
      </c>
      <c r="C6" s="4500">
        <f>SUMIF(L1:L12,G2,M1:M12)</f>
        <v>12330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0.84799999999999998</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6" thickBot="1">
      <c r="A7" s="2618" t="s">
        <v>3124</v>
      </c>
      <c r="B7" s="1569" t="s">
        <v>1859</v>
      </c>
      <c r="C7" s="4501">
        <f>IF(C8="不临65条商业街",1,ROUND(1+(1.6*E8+1.2*E9+0.8*E10+0.4*E11)*C9,4))</f>
        <v>1</v>
      </c>
      <c r="D7" s="1570" t="s">
        <v>1860</v>
      </c>
      <c r="E7" s="4507"/>
      <c r="F7" s="1571"/>
      <c r="G7" s="1572"/>
      <c r="H7" s="1572"/>
      <c r="I7" s="1572"/>
      <c r="J7" s="1573"/>
      <c r="K7" s="991"/>
      <c r="L7" s="1551" t="s">
        <v>1861</v>
      </c>
      <c r="M7" s="585">
        <f>SUMPRODUCT((区片价!B190:B233=I2)*(区片价!C3:G3=E2)*(区片价!C190:G233))</f>
        <v>12330</v>
      </c>
      <c r="N7" s="587">
        <f>SUMPRODUCT((因素修正幅度!B190:B233=I2)*(因素修正幅度!C3:G3=E2)*(因素修正幅度!C190:G233))</f>
        <v>0.13</v>
      </c>
      <c r="O7" s="788"/>
      <c r="P7" s="788"/>
      <c r="Q7" s="788"/>
      <c r="R7" s="852">
        <v>6</v>
      </c>
      <c r="S7" s="4537"/>
      <c r="T7" s="4535" t="e">
        <f t="shared" si="0"/>
        <v>#DIV/0!</v>
      </c>
      <c r="U7" s="4536"/>
      <c r="V7" s="4535" t="e">
        <f t="shared" si="1"/>
        <v>#DIV/0!</v>
      </c>
      <c r="W7" s="965" t="s">
        <v>1862</v>
      </c>
      <c r="X7" s="4552" t="str">
        <f>G2</f>
        <v>七级</v>
      </c>
      <c r="Y7" s="853" t="s">
        <v>1863</v>
      </c>
      <c r="Z7" s="4554">
        <f>G3</f>
        <v>2.5</v>
      </c>
      <c r="AA7" s="854"/>
      <c r="AB7" s="854"/>
      <c r="AC7" s="855"/>
      <c r="AD7" s="856"/>
      <c r="AE7" s="856"/>
      <c r="AF7" s="856"/>
      <c r="AG7" s="856"/>
      <c r="AH7" s="856"/>
      <c r="AI7" s="856"/>
      <c r="AJ7" s="857"/>
    </row>
    <row r="8" spans="1:36" ht="26.4">
      <c r="A8" s="2613"/>
      <c r="B8" s="72" t="s">
        <v>1864</v>
      </c>
      <c r="C8" s="4502" t="s">
        <v>4075</v>
      </c>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20" t="s">
        <v>1867</v>
      </c>
      <c r="X8" s="5021"/>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2"/>
      <c r="X9" s="2667" t="s">
        <v>3153</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3"/>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2"/>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6" thickBot="1">
      <c r="A11" s="2617"/>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9"/>
      <c r="AE11" s="2219"/>
      <c r="AF11" s="2219"/>
      <c r="AG11" s="2219"/>
      <c r="AH11" s="2219"/>
      <c r="AI11" s="2219"/>
      <c r="AJ11" s="2220"/>
    </row>
    <row r="12" spans="1:36" ht="25.8" thickBot="1">
      <c r="A12" s="2618" t="s">
        <v>3125</v>
      </c>
      <c r="B12" s="2619" t="s">
        <v>3126</v>
      </c>
      <c r="C12" s="4510">
        <v>1</v>
      </c>
      <c r="D12" s="2620" t="s">
        <v>3127</v>
      </c>
      <c r="E12" s="2621" t="s">
        <v>3128</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9"/>
      <c r="AE12" s="2219"/>
      <c r="AF12" s="2219"/>
      <c r="AG12" s="2219"/>
      <c r="AH12" s="2219"/>
      <c r="AI12" s="2219"/>
      <c r="AJ12" s="2220"/>
    </row>
    <row r="13" spans="1:36" ht="24.6" thickBot="1">
      <c r="A13" s="2618" t="s">
        <v>3129</v>
      </c>
      <c r="B13" s="1582" t="s">
        <v>1889</v>
      </c>
      <c r="C13" s="4511">
        <f>ROUND(C16*D16*E16*F16*G16*H16*I16*J16,4)</f>
        <v>1</v>
      </c>
      <c r="D13" s="1583" t="s">
        <v>1890</v>
      </c>
      <c r="E13" s="1584"/>
      <c r="F13" s="1584"/>
      <c r="G13" s="1585"/>
      <c r="H13" s="1585"/>
      <c r="I13" s="1585"/>
      <c r="J13" s="1586"/>
      <c r="K13" s="788"/>
      <c r="L13" s="2614"/>
      <c r="M13" s="2615"/>
      <c r="N13" s="2616"/>
      <c r="O13" s="788"/>
      <c r="P13" s="788"/>
      <c r="Q13" s="788"/>
      <c r="R13" s="852">
        <v>12</v>
      </c>
      <c r="S13" s="4536"/>
      <c r="T13" s="4535" t="e">
        <f t="shared" si="0"/>
        <v>#DIV/0!</v>
      </c>
      <c r="U13" s="4536"/>
      <c r="V13" s="4535" t="e">
        <f t="shared" si="1"/>
        <v>#DIV/0!</v>
      </c>
      <c r="W13" s="854"/>
      <c r="X13" s="854"/>
      <c r="Y13" s="854"/>
      <c r="Z13" s="854"/>
      <c r="AA13" s="854"/>
      <c r="AB13" s="854"/>
      <c r="AC13" s="855"/>
      <c r="AD13" s="2219"/>
      <c r="AE13" s="2219"/>
      <c r="AF13" s="2219"/>
      <c r="AG13" s="2219"/>
      <c r="AH13" s="2219"/>
      <c r="AI13" s="2219"/>
      <c r="AJ13" s="2220"/>
    </row>
    <row r="14" spans="1:36" ht="24">
      <c r="A14" s="2612"/>
      <c r="B14" s="1588" t="s">
        <v>1892</v>
      </c>
      <c r="C14" s="1589" t="s">
        <v>1893</v>
      </c>
      <c r="D14" s="958" t="s">
        <v>1894</v>
      </c>
      <c r="E14" s="18" t="s">
        <v>1895</v>
      </c>
      <c r="F14" s="2625" t="s">
        <v>3130</v>
      </c>
      <c r="G14" s="2625" t="s">
        <v>3130</v>
      </c>
      <c r="H14" s="2625" t="s">
        <v>3130</v>
      </c>
      <c r="I14" s="2625" t="s">
        <v>3130</v>
      </c>
      <c r="J14" s="2625" t="s">
        <v>3130</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9"/>
      <c r="AE14" s="2219"/>
      <c r="AF14" s="2219"/>
      <c r="AG14" s="2219"/>
      <c r="AH14" s="2219"/>
      <c r="AI14" s="2219"/>
      <c r="AJ14" s="2220"/>
    </row>
    <row r="15" spans="1:36" ht="15">
      <c r="A15" s="2612"/>
      <c r="B15" s="1590"/>
      <c r="C15" s="1591" t="s">
        <v>4076</v>
      </c>
      <c r="D15" s="1592" t="s">
        <v>4076</v>
      </c>
      <c r="E15" s="1593" t="s">
        <v>4077</v>
      </c>
      <c r="F15" s="2626" t="s">
        <v>3131</v>
      </c>
      <c r="G15" s="2627"/>
      <c r="H15" s="2628"/>
      <c r="I15" s="2629"/>
      <c r="J15" s="2630"/>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9"/>
      <c r="AE15" s="2219"/>
      <c r="AF15" s="2219"/>
      <c r="AG15" s="2219"/>
      <c r="AH15" s="2219"/>
      <c r="AI15" s="2219"/>
      <c r="AJ15" s="2220"/>
    </row>
    <row r="16" spans="1:36" ht="15.6" thickBot="1">
      <c r="A16" s="2612"/>
      <c r="B16" s="2631" t="s">
        <v>1896</v>
      </c>
      <c r="C16" s="4512">
        <v>1</v>
      </c>
      <c r="D16" s="4512">
        <v>1</v>
      </c>
      <c r="E16" s="4512">
        <v>1</v>
      </c>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9"/>
      <c r="AE16" s="2219"/>
      <c r="AF16" s="2219"/>
      <c r="AG16" s="2219"/>
      <c r="AH16" s="2219"/>
      <c r="AI16" s="2219"/>
      <c r="AJ16" s="2220"/>
    </row>
    <row r="17" spans="1:37" ht="24">
      <c r="A17" s="2639" t="s">
        <v>3132</v>
      </c>
      <c r="B17" s="2632" t="s">
        <v>3133</v>
      </c>
      <c r="C17" s="4514">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15"/>
      <c r="D18" s="2634" t="s">
        <v>3135</v>
      </c>
      <c r="E18" s="2827"/>
      <c r="F18" s="2635" t="s">
        <v>3138</v>
      </c>
      <c r="G18" s="2638">
        <f>ROUND(1-(1/(POWER(1+G24,E18))),4)</f>
        <v>0</v>
      </c>
      <c r="H18" s="2635" t="s">
        <v>3140</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16"/>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23" t="s">
        <v>3141</v>
      </c>
      <c r="B20" s="70" t="s">
        <v>1901</v>
      </c>
      <c r="C20" s="4517">
        <f>ROUND(IF(F21="与级别开发程度一致",0,(G21-E21)/C21),0)</f>
        <v>0</v>
      </c>
      <c r="D20" s="2649" t="s">
        <v>1905</v>
      </c>
      <c r="E20" s="2650"/>
      <c r="F20" s="5029" t="s">
        <v>1902</v>
      </c>
      <c r="G20" s="5030"/>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24"/>
      <c r="B21" s="1704" t="s">
        <v>1904</v>
      </c>
      <c r="C21" s="4518">
        <f>IF(E3="M4科研用地",SUMPRODUCT((修正!A2:A7=E3)*(修正!B1:M1=G2)*(修正!B2:M7)),SUMPRODUCT((修正!A2:A7=E2)*(修正!B1:M1=G2)*(修正!B2:M7)))</f>
        <v>2.5</v>
      </c>
      <c r="D21" s="86" t="str">
        <f>IF(OR(G2="八级",G2="九级",G2="十级",G2="十一级",G2="十二级"),"五通一平","七通一平")</f>
        <v>七通一平</v>
      </c>
      <c r="E21" s="4538">
        <f>SUMPRODUCT((修正!B1:M1=G2)*(修正!B17:M17))</f>
        <v>315</v>
      </c>
      <c r="F21" s="1698" t="s">
        <v>4078</v>
      </c>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1907</v>
      </c>
      <c r="C22" s="4519">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1909</v>
      </c>
      <c r="E23" s="4540">
        <v>44197</v>
      </c>
      <c r="F23" s="1602" t="s">
        <v>1910</v>
      </c>
      <c r="G23" s="4541">
        <f>'数据-取费表'!B2</f>
        <v>46093</v>
      </c>
      <c r="H23" s="2651" t="s">
        <v>4079</v>
      </c>
      <c r="I23" s="2652" t="str">
        <f>IF(H23="季度增幅（自定义）",SUMIF(N25:N28,E2,O25:O28),"")</f>
        <v/>
      </c>
      <c r="J23" s="2713" t="s">
        <v>4080</v>
      </c>
      <c r="K23" s="794"/>
      <c r="L23" s="1603" t="s">
        <v>1911</v>
      </c>
      <c r="M23" s="940">
        <f>ROUND(SUMIF(地价!B2:G2,E2,地价!B16:G16),0)</f>
        <v>687</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0.05</v>
      </c>
      <c r="H24" s="1608" t="s">
        <v>1915</v>
      </c>
      <c r="I24" s="4543" t="e">
        <f>SUMIF('数据-取费表'!C6:C15,E2,'数据-取费表'!F6:F15)/COUNTIF('数据-取费表'!C6:C15,E2)</f>
        <v>#DIV/0!</v>
      </c>
      <c r="J24" s="4544">
        <f>IF(E2="住宅",70,IF(E2="商业",40,50))</f>
        <v>70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4081</v>
      </c>
      <c r="C25" s="4522">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1921</v>
      </c>
      <c r="B26" s="1618" t="s">
        <v>1922</v>
      </c>
      <c r="C26" s="2653" t="s">
        <v>3142</v>
      </c>
      <c r="D26" s="4533">
        <f>IF(E26=G26,F26,IF(G3&lt;10,ROUND(F26+(H26-F26)*(G3-E26)/(G26-E26),4),"——"))</f>
        <v>1</v>
      </c>
      <c r="E26" s="4533">
        <f>ROUNDDOWN(G3,1)</f>
        <v>2.5</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3">
        <f>ROUNDUP(G3,1)</f>
        <v>2.5</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4"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1927</v>
      </c>
      <c r="C28" s="4524">
        <f>SUMIF(A47:A101,E2,B47:B101)</f>
        <v>1.0194000000000001</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1931</v>
      </c>
      <c r="C30" s="4525" t="e">
        <f>IF(B25="容积率修正",E33+SUM(I37:I42),SUM(V2:V16)+SUM(I37:I42))</f>
        <v>#DIV/0!</v>
      </c>
      <c r="D30" s="4198" t="s">
        <v>3789</v>
      </c>
      <c r="E30" s="1594"/>
      <c r="F30" s="1631"/>
      <c r="G30" s="1594"/>
      <c r="H30" s="1594"/>
      <c r="I30" s="1594"/>
      <c r="J30" s="1632"/>
      <c r="K30" s="788"/>
      <c r="L30" s="2658" t="s">
        <v>1843</v>
      </c>
      <c r="M30" s="2659" t="s">
        <v>1897</v>
      </c>
      <c r="N30" s="2659" t="s">
        <v>1898</v>
      </c>
      <c r="O30" s="2659" t="s">
        <v>1899</v>
      </c>
      <c r="P30" s="2659" t="s">
        <v>1900</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1932</v>
      </c>
      <c r="C31" s="4526" t="e">
        <f>E34+SUM(I37:I42)</f>
        <v>#DIV/0!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1937</v>
      </c>
      <c r="C33" s="4525" t="e">
        <f>ROUND(C5*C22*C23*C24*C25*C28,0)</f>
        <v>#DIV/0!</v>
      </c>
      <c r="D33" s="4527"/>
      <c r="E33" s="2845" t="e">
        <f>ROUND(C33*D33/10000,0)</f>
        <v>#DIV/0!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1938</v>
      </c>
      <c r="C34" s="4528" t="e">
        <f>ROUND(IF(E2="工业",C33*M42,IF(B25="楼层修正",SUM(V2:V16)*M41*10000/D34,C33*M41)),0)</f>
        <v>#DIV/0!</v>
      </c>
      <c r="D34" s="4529"/>
      <c r="E34" s="2845" t="e">
        <f>ROUND(IF(B25="楼层修正",SUM(V2:V16)*M40,C34*D34/10000),0)</f>
        <v>#DIV/0!</v>
      </c>
      <c r="F34" s="1649" t="s">
        <v>1939</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3146</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1934</v>
      </c>
      <c r="D36" s="303" t="s">
        <v>1935</v>
      </c>
      <c r="E36" s="303" t="s">
        <v>1936</v>
      </c>
      <c r="F36" s="229" t="s">
        <v>1942</v>
      </c>
      <c r="G36" s="1657" t="s">
        <v>1934</v>
      </c>
      <c r="H36" s="1657" t="s">
        <v>1935</v>
      </c>
      <c r="I36" s="1657" t="s">
        <v>1936</v>
      </c>
      <c r="J36" s="142"/>
      <c r="K36" s="2664" t="s">
        <v>3150</v>
      </c>
      <c r="L36" s="2714">
        <f ca="1">'数据-取费表'!B41</f>
        <v>0.03</v>
      </c>
      <c r="M36" s="3169">
        <f ca="1">ROUND($L$36*(1+M31),3)</f>
        <v>3.7999999999999999E-2</v>
      </c>
      <c r="N36" s="3169">
        <f ca="1">ROUND($L$36*(1+N31),3)</f>
        <v>3.5999999999999997E-2</v>
      </c>
      <c r="O36" s="3169">
        <f ca="1">ROUND($L$36*(1+O31),3)</f>
        <v>3.5000000000000003E-2</v>
      </c>
      <c r="P36" s="3169">
        <f ca="1">ROUND($L$36*(1+P31),3)</f>
        <v>3.3000000000000002E-2</v>
      </c>
      <c r="Q36" s="3169">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27"/>
      <c r="B37" s="4555" t="s">
        <v>1943</v>
      </c>
      <c r="C37" s="4525" t="e">
        <f>ROUND(D5*C22*C23*C24*C28*F37,0)</f>
        <v>#DIV/0!</v>
      </c>
      <c r="D37" s="4527"/>
      <c r="E37" s="3336" t="e">
        <f>ROUND(C37*D37/10000,0)</f>
        <v>#DIV/0!</v>
      </c>
      <c r="F37" s="3311">
        <f>SUMIF(修正!A59:A70,G2,修正!B59:B70)</f>
        <v>0.6</v>
      </c>
      <c r="G37" s="3336" t="e">
        <f>ROUND(IF(E2="工业",C37*$M$42,C37*$M$41),0)</f>
        <v>#DIV/0!</v>
      </c>
      <c r="H37" s="3311">
        <f>D37</f>
        <v>0</v>
      </c>
      <c r="I37" s="3336" t="e">
        <f>ROUND(G37*H37/10000,0)</f>
        <v>#DIV/0!</v>
      </c>
      <c r="J37" s="2376"/>
      <c r="K37" s="2665" t="s">
        <v>3151</v>
      </c>
      <c r="L37" s="3170">
        <f ca="1">L36+K38</f>
        <v>3.4999999999999996E-2</v>
      </c>
      <c r="M37" s="3169">
        <f ca="1">ROUND($L$37*(1+M31),3)</f>
        <v>4.3999999999999997E-2</v>
      </c>
      <c r="N37" s="3169">
        <f t="shared" ref="N37:Q37" ca="1" si="3">ROUND($L$37*(1+N31),3)</f>
        <v>4.2000000000000003E-2</v>
      </c>
      <c r="O37" s="3169">
        <f t="shared" ca="1" si="3"/>
        <v>0.04</v>
      </c>
      <c r="P37" s="3169">
        <f t="shared" ca="1" si="3"/>
        <v>3.9E-2</v>
      </c>
      <c r="Q37" s="3169">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28"/>
      <c r="B38" s="3811" t="s">
        <v>1944</v>
      </c>
      <c r="C38" s="4525" t="e">
        <f>ROUND(D5*C22*C23*C24*C28*F38,0)</f>
        <v>#DIV/0!</v>
      </c>
      <c r="D38" s="4527"/>
      <c r="E38" s="3336" t="e">
        <f t="shared" ref="E38:E42" si="4">ROUND(C38*D38/10000,0)</f>
        <v>#DIV/0!</v>
      </c>
      <c r="F38" s="3311">
        <f>SUMIF(修正!A59:A70,G2,修正!C59:C70)</f>
        <v>0.3</v>
      </c>
      <c r="G38" s="3336" t="e">
        <f>ROUND(IF(E2="工业",C38*$M$42,C38*$M$41),0)</f>
        <v>#DIV/0!</v>
      </c>
      <c r="H38" s="3311">
        <f t="shared" ref="H38:H42" si="5">D38</f>
        <v>0</v>
      </c>
      <c r="I38" s="3336"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28"/>
      <c r="B39" s="3811" t="s">
        <v>3144</v>
      </c>
      <c r="C39" s="4525" t="e">
        <f>ROUND(D5*C22*C23*C24*C28*F39,0)</f>
        <v>#DIV/0!</v>
      </c>
      <c r="D39" s="4527"/>
      <c r="E39" s="3336" t="e">
        <f t="shared" si="4"/>
        <v>#DIV/0!</v>
      </c>
      <c r="F39" s="3311">
        <f>SUMIF(修正!A59:A70,G2,修正!D59:D70)</f>
        <v>0.25</v>
      </c>
      <c r="G39" s="3336" t="e">
        <f>ROUND(IF(E2="工业",C39*$M$42,C39*$M$41),0)</f>
        <v>#DIV/0!</v>
      </c>
      <c r="H39" s="3311">
        <f t="shared" si="5"/>
        <v>0</v>
      </c>
      <c r="I39" s="3336"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0.25</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2961</v>
      </c>
      <c r="D41" s="4527"/>
      <c r="E41" s="3336">
        <f t="shared" si="4"/>
        <v>0</v>
      </c>
      <c r="F41" s="4530">
        <f>SUMIF(修正!A59:A70,G2,修正!F59:F70)</f>
        <v>0.25</v>
      </c>
      <c r="G41" s="3336">
        <f>ROUND(IF(E2="工业",C41*$M$42,C41*$M$41),0)</f>
        <v>740</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8" thickBot="1">
      <c r="A42" s="1647"/>
      <c r="B42" s="4556" t="s">
        <v>1948</v>
      </c>
      <c r="C42" s="4528">
        <f>ROUND(D5*C22*C23*C44*C28*F42,0)</f>
        <v>1776</v>
      </c>
      <c r="D42" s="4529">
        <f>'数据-汇总表'!G19</f>
        <v>42.16</v>
      </c>
      <c r="E42" s="4528">
        <f t="shared" si="4"/>
        <v>7</v>
      </c>
      <c r="F42" s="4531">
        <f>SUMIF(修正!A59:A70,G2,修正!G59:G70)</f>
        <v>0.15</v>
      </c>
      <c r="G42" s="4528">
        <f>ROUND(IF(E2="工业",C42*$M$42,C42*$M$41),0)</f>
        <v>444</v>
      </c>
      <c r="H42" s="4532">
        <f t="shared" si="5"/>
        <v>42.16</v>
      </c>
      <c r="I42" s="4528">
        <f t="shared" si="6"/>
        <v>2</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2024</v>
      </c>
      <c r="C44" s="229">
        <f>ROUND(POWER(1+E44,H44-G44)*(POWER(1+E44,G44)-1)/(POWER(1+E44,H44)-1),4)</f>
        <v>0.93989999999999996</v>
      </c>
      <c r="D44" s="73" t="s">
        <v>1906</v>
      </c>
      <c r="E44" s="1696">
        <f>G24</f>
        <v>0.05</v>
      </c>
      <c r="F44" s="73" t="s">
        <v>1915</v>
      </c>
      <c r="G44" s="82">
        <v>40</v>
      </c>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9.6">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52.8">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48">
      <c r="A52" s="2669" t="s">
        <v>3154</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7.200000000000003">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36">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6.4">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6.4">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40.200000000000003"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4.4">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9.6">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52.8">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48">
      <c r="A63" s="2669" t="s">
        <v>3154</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7.200000000000003">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t="s">
        <v>4120</v>
      </c>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36">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6.4">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6.4">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40.200000000000003"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4.4">
      <c r="A70" s="1669" t="s">
        <v>1972</v>
      </c>
      <c r="B70" s="1670">
        <f>1+E72</f>
        <v>1.0194000000000001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2.8">
      <c r="A72" s="1673" t="s">
        <v>1973</v>
      </c>
      <c r="B72" s="1676" t="str">
        <f>估价对象房地状况!C15</f>
        <v>估价对象周边居住用地比例、居住小区规模和社区发展完善程度，综合评价居住社区成熟度一般</v>
      </c>
      <c r="C72" s="1592" t="s">
        <v>3609</v>
      </c>
      <c r="D72" s="4558">
        <f t="shared" ref="D72:D80" si="17">SUMIF($J$71:$N$71,C72,J72:N72)</f>
        <v>0</v>
      </c>
      <c r="E72" s="4559">
        <f>ROUND(SUM(D72:D80),4)</f>
        <v>1.9400000000000001E-2</v>
      </c>
      <c r="F72" s="4567">
        <f>IF(E2="住宅",SUMIF(L1:L12,G2,N1:N12),"——")</f>
        <v>0.13</v>
      </c>
      <c r="G72" s="4562">
        <v>1.2999999999999999E-2</v>
      </c>
      <c r="H72" s="4563">
        <f t="shared" ref="H72:H80" si="18">IFERROR(ROUNDDOWN($F$72*I72/2,4),"——")</f>
        <v>1.2999999999999999E-2</v>
      </c>
      <c r="I72" s="4564">
        <v>0.2</v>
      </c>
      <c r="J72" s="4565">
        <f t="shared" ref="J72:J80" si="19">K72+$G72</f>
        <v>2.5999999999999999E-2</v>
      </c>
      <c r="K72" s="4565">
        <f t="shared" ref="K72:K80" si="20">$L72+$G72</f>
        <v>1.2999999999999999E-2</v>
      </c>
      <c r="L72" s="4565">
        <v>0</v>
      </c>
      <c r="M72" s="4565">
        <f t="shared" ref="M72:N80" si="21">L72-$G72</f>
        <v>-1.2999999999999999E-2</v>
      </c>
      <c r="N72" s="4565">
        <f t="shared" si="21"/>
        <v>-2.5999999999999999E-2</v>
      </c>
      <c r="AA72" s="789"/>
      <c r="AB72" s="789"/>
      <c r="AC72" s="789"/>
      <c r="AD72" s="789"/>
      <c r="AE72" s="789"/>
      <c r="AF72" s="789"/>
      <c r="AG72" s="789"/>
      <c r="AH72" s="789"/>
      <c r="AI72" s="789"/>
      <c r="AJ72" s="789"/>
      <c r="AK72" s="789"/>
    </row>
    <row r="73" spans="1:37" s="788" customFormat="1" ht="52.8">
      <c r="A73" s="1673" t="s">
        <v>1960</v>
      </c>
      <c r="B73" s="1677" t="str">
        <f>估价对象房地状况!C18</f>
        <v>估价对象周边道路状况、公共交通通达情况、停车便捷程度，综合评价交通便捷度较好</v>
      </c>
      <c r="C73" s="1592" t="s">
        <v>3609</v>
      </c>
      <c r="D73" s="4558">
        <f t="shared" si="17"/>
        <v>0</v>
      </c>
      <c r="E73" s="4560"/>
      <c r="F73" s="4567"/>
      <c r="G73" s="4562">
        <v>1.6899999999999998E-2</v>
      </c>
      <c r="H73" s="4563">
        <f t="shared" si="18"/>
        <v>1.6899999999999998E-2</v>
      </c>
      <c r="I73" s="4564">
        <v>0.26</v>
      </c>
      <c r="J73" s="4565">
        <f t="shared" si="19"/>
        <v>3.3799999999999997E-2</v>
      </c>
      <c r="K73" s="4565">
        <f t="shared" si="20"/>
        <v>1.6899999999999998E-2</v>
      </c>
      <c r="L73" s="4565">
        <v>0</v>
      </c>
      <c r="M73" s="4565">
        <f t="shared" si="21"/>
        <v>-1.6899999999999998E-2</v>
      </c>
      <c r="N73" s="4565">
        <f t="shared" si="21"/>
        <v>-3.3799999999999997E-2</v>
      </c>
      <c r="AA73" s="789"/>
      <c r="AB73" s="789"/>
      <c r="AC73" s="789"/>
      <c r="AD73" s="789"/>
      <c r="AE73" s="789"/>
      <c r="AF73" s="789"/>
      <c r="AG73" s="789"/>
      <c r="AH73" s="789"/>
      <c r="AI73" s="789"/>
      <c r="AJ73" s="789"/>
      <c r="AK73" s="789"/>
    </row>
    <row r="74" spans="1:37" s="1546" customFormat="1" ht="48">
      <c r="A74" s="2669" t="s">
        <v>3154</v>
      </c>
      <c r="B74" s="1677">
        <f>估价对象房地状况!C19</f>
        <v>0</v>
      </c>
      <c r="C74" s="1592" t="s">
        <v>3609</v>
      </c>
      <c r="D74" s="4558">
        <f t="shared" si="17"/>
        <v>0</v>
      </c>
      <c r="E74" s="4560"/>
      <c r="F74" s="4567"/>
      <c r="G74" s="4562">
        <v>6.4999999999999997E-3</v>
      </c>
      <c r="H74" s="4563">
        <f t="shared" si="18"/>
        <v>6.4999999999999997E-3</v>
      </c>
      <c r="I74" s="4564">
        <v>0.1</v>
      </c>
      <c r="J74" s="4565">
        <f t="shared" si="19"/>
        <v>1.2999999999999999E-2</v>
      </c>
      <c r="K74" s="4565">
        <f t="shared" si="20"/>
        <v>6.4999999999999997E-3</v>
      </c>
      <c r="L74" s="4565">
        <v>0</v>
      </c>
      <c r="M74" s="4565">
        <f t="shared" si="21"/>
        <v>-6.4999999999999997E-3</v>
      </c>
      <c r="N74" s="4565">
        <f t="shared" si="21"/>
        <v>-1.2999999999999999E-2</v>
      </c>
      <c r="O74" s="788"/>
      <c r="P74" s="788"/>
      <c r="Q74" s="788"/>
      <c r="AA74" s="1684"/>
      <c r="AB74" s="789"/>
      <c r="AC74" s="789"/>
      <c r="AD74" s="789"/>
      <c r="AE74" s="789"/>
      <c r="AF74" s="789"/>
      <c r="AG74" s="789"/>
      <c r="AH74" s="1684"/>
      <c r="AI74" s="1684"/>
      <c r="AJ74" s="1684"/>
      <c r="AK74" s="1684"/>
    </row>
    <row r="75" spans="1:37" ht="13.8">
      <c r="A75" s="1673" t="s">
        <v>1974</v>
      </c>
      <c r="B75" s="1677">
        <f>估价对象房地状况!C24</f>
        <v>0</v>
      </c>
      <c r="C75" s="1592" t="s">
        <v>3609</v>
      </c>
      <c r="D75" s="4558">
        <f t="shared" si="17"/>
        <v>0</v>
      </c>
      <c r="E75" s="4560"/>
      <c r="F75" s="4567"/>
      <c r="G75" s="4562">
        <v>3.2000000000000002E-3</v>
      </c>
      <c r="H75" s="4563">
        <f t="shared" si="18"/>
        <v>3.2000000000000002E-3</v>
      </c>
      <c r="I75" s="4564">
        <v>0.05</v>
      </c>
      <c r="J75" s="4565">
        <f t="shared" si="19"/>
        <v>6.4000000000000003E-3</v>
      </c>
      <c r="K75" s="4565">
        <f t="shared" si="20"/>
        <v>3.2000000000000002E-3</v>
      </c>
      <c r="L75" s="4565">
        <v>0</v>
      </c>
      <c r="M75" s="4565">
        <f t="shared" si="21"/>
        <v>-3.2000000000000002E-3</v>
      </c>
      <c r="N75" s="4565">
        <f t="shared" si="21"/>
        <v>-6.4000000000000003E-3</v>
      </c>
      <c r="O75" s="788"/>
      <c r="P75" s="788"/>
      <c r="Q75" s="1546"/>
      <c r="Z75" s="1547"/>
      <c r="AA75" s="1601"/>
      <c r="AG75" s="790"/>
      <c r="AK75" s="1601"/>
    </row>
    <row r="76" spans="1:37" ht="26.4">
      <c r="A76" s="1673" t="s">
        <v>1966</v>
      </c>
      <c r="B76" s="938" t="str">
        <f>估价对象房地状况!C21</f>
        <v>估价对象所在区域公共配套设施齐备情况</v>
      </c>
      <c r="C76" s="1592" t="s">
        <v>3609</v>
      </c>
      <c r="D76" s="4558">
        <f t="shared" si="17"/>
        <v>0</v>
      </c>
      <c r="E76" s="4560"/>
      <c r="F76" s="4567"/>
      <c r="G76" s="4562">
        <v>5.1999999999999998E-3</v>
      </c>
      <c r="H76" s="4563">
        <f t="shared" si="18"/>
        <v>5.1999999999999998E-3</v>
      </c>
      <c r="I76" s="4564">
        <v>0.08</v>
      </c>
      <c r="J76" s="4565">
        <f t="shared" si="19"/>
        <v>1.04E-2</v>
      </c>
      <c r="K76" s="4565">
        <f t="shared" si="20"/>
        <v>5.1999999999999998E-3</v>
      </c>
      <c r="L76" s="4565">
        <v>0</v>
      </c>
      <c r="M76" s="4565">
        <f t="shared" si="21"/>
        <v>-5.1999999999999998E-3</v>
      </c>
      <c r="N76" s="4565">
        <f t="shared" si="21"/>
        <v>-1.04E-2</v>
      </c>
      <c r="O76" s="788"/>
      <c r="P76" s="788"/>
      <c r="Z76" s="1547"/>
      <c r="AA76" s="1601"/>
      <c r="AG76" s="790"/>
      <c r="AK76" s="1601"/>
    </row>
    <row r="77" spans="1:37" ht="26.4">
      <c r="A77" s="1673" t="s">
        <v>1967</v>
      </c>
      <c r="B77" s="938" t="str">
        <f>估价对象房地状况!C22</f>
        <v>估价对象所在区域基础设施水平</v>
      </c>
      <c r="C77" s="1592" t="s">
        <v>4082</v>
      </c>
      <c r="D77" s="4558">
        <f t="shared" si="17"/>
        <v>1.1599999999999999E-2</v>
      </c>
      <c r="E77" s="4560"/>
      <c r="F77" s="4567"/>
      <c r="G77" s="4562">
        <v>5.7999999999999996E-3</v>
      </c>
      <c r="H77" s="4563">
        <f t="shared" si="18"/>
        <v>5.7999999999999996E-3</v>
      </c>
      <c r="I77" s="4564">
        <v>0.09</v>
      </c>
      <c r="J77" s="4565">
        <f t="shared" si="19"/>
        <v>1.1599999999999999E-2</v>
      </c>
      <c r="K77" s="4565">
        <f t="shared" si="20"/>
        <v>5.7999999999999996E-3</v>
      </c>
      <c r="L77" s="4565">
        <v>0</v>
      </c>
      <c r="M77" s="4565">
        <f t="shared" si="21"/>
        <v>-5.7999999999999996E-3</v>
      </c>
      <c r="N77" s="4565">
        <f t="shared" si="21"/>
        <v>-1.1599999999999999E-2</v>
      </c>
      <c r="O77" s="788"/>
      <c r="P77" s="788"/>
      <c r="Z77" s="1547"/>
      <c r="AA77" s="1601"/>
      <c r="AG77" s="790"/>
      <c r="AK77" s="1601"/>
    </row>
    <row r="78" spans="1:37" ht="36">
      <c r="A78" s="1673" t="s">
        <v>1964</v>
      </c>
      <c r="B78" s="1679" t="s">
        <v>1965</v>
      </c>
      <c r="C78" s="1592" t="s">
        <v>3609</v>
      </c>
      <c r="D78" s="4558">
        <f t="shared" si="17"/>
        <v>0</v>
      </c>
      <c r="E78" s="4560"/>
      <c r="F78" s="4567"/>
      <c r="G78" s="4562">
        <v>3.2000000000000002E-3</v>
      </c>
      <c r="H78" s="4563">
        <f t="shared" si="18"/>
        <v>3.2000000000000002E-3</v>
      </c>
      <c r="I78" s="4564">
        <v>0.05</v>
      </c>
      <c r="J78" s="4565">
        <f t="shared" si="19"/>
        <v>6.4000000000000003E-3</v>
      </c>
      <c r="K78" s="4565">
        <f t="shared" si="20"/>
        <v>3.2000000000000002E-3</v>
      </c>
      <c r="L78" s="4565">
        <v>0</v>
      </c>
      <c r="M78" s="4565">
        <f t="shared" si="21"/>
        <v>-3.2000000000000002E-3</v>
      </c>
      <c r="N78" s="4565">
        <f t="shared" si="21"/>
        <v>-6.4000000000000003E-3</v>
      </c>
      <c r="O78" s="1546"/>
      <c r="P78" s="1546"/>
      <c r="Z78" s="1547"/>
      <c r="AA78" s="1601"/>
      <c r="AG78" s="790"/>
      <c r="AK78" s="1601"/>
    </row>
    <row r="79" spans="1:37" ht="39.6">
      <c r="A79" s="1673" t="s">
        <v>1968</v>
      </c>
      <c r="B79" s="1676" t="str">
        <f>估价对象房地状况!C20</f>
        <v>区域自然环境：；人文环境；综合评价环境状况一般</v>
      </c>
      <c r="C79" s="1592" t="s">
        <v>3610</v>
      </c>
      <c r="D79" s="4558">
        <f t="shared" si="17"/>
        <v>7.7999999999999996E-3</v>
      </c>
      <c r="E79" s="4560"/>
      <c r="F79" s="4567"/>
      <c r="G79" s="4562">
        <v>7.7999999999999996E-3</v>
      </c>
      <c r="H79" s="4563">
        <f t="shared" si="18"/>
        <v>7.7999999999999996E-3</v>
      </c>
      <c r="I79" s="4564">
        <v>0.12</v>
      </c>
      <c r="J79" s="4565">
        <f t="shared" si="19"/>
        <v>1.5599999999999999E-2</v>
      </c>
      <c r="K79" s="4565">
        <f t="shared" si="20"/>
        <v>7.7999999999999996E-3</v>
      </c>
      <c r="L79" s="4565">
        <v>0</v>
      </c>
      <c r="M79" s="4565">
        <f t="shared" si="21"/>
        <v>-7.7999999999999996E-3</v>
      </c>
      <c r="N79" s="4565">
        <f t="shared" si="21"/>
        <v>-1.5599999999999999E-2</v>
      </c>
      <c r="Z79" s="1547"/>
      <c r="AA79" s="1601"/>
      <c r="AG79" s="790"/>
      <c r="AK79" s="1601"/>
    </row>
    <row r="80" spans="1:37" ht="36.6" thickBot="1">
      <c r="A80" s="1681" t="s">
        <v>1975</v>
      </c>
      <c r="B80" s="1685"/>
      <c r="C80" s="1592" t="s">
        <v>3609</v>
      </c>
      <c r="D80" s="4558">
        <f t="shared" si="17"/>
        <v>0</v>
      </c>
      <c r="E80" s="4561"/>
      <c r="F80" s="4567"/>
      <c r="G80" s="4562">
        <v>3.2000000000000002E-3</v>
      </c>
      <c r="H80" s="4563">
        <f t="shared" si="18"/>
        <v>3.2000000000000002E-3</v>
      </c>
      <c r="I80" s="4566">
        <v>0.05</v>
      </c>
      <c r="J80" s="4565">
        <f t="shared" si="19"/>
        <v>6.4000000000000003E-3</v>
      </c>
      <c r="K80" s="4565">
        <f t="shared" si="20"/>
        <v>3.2000000000000002E-3</v>
      </c>
      <c r="L80" s="4565">
        <v>0</v>
      </c>
      <c r="M80" s="4565">
        <f t="shared" si="21"/>
        <v>-3.2000000000000002E-3</v>
      </c>
      <c r="N80" s="4565">
        <f t="shared" si="21"/>
        <v>-6.4000000000000003E-3</v>
      </c>
      <c r="Z80" s="1547"/>
      <c r="AA80" s="1601"/>
      <c r="AG80" s="790"/>
      <c r="AK80" s="1601"/>
    </row>
    <row r="81" spans="1:37" ht="14.4">
      <c r="A81" s="1669" t="s">
        <v>1976</v>
      </c>
      <c r="B81" s="1670">
        <f>1+E83</f>
        <v>1</v>
      </c>
      <c r="C81" s="529"/>
      <c r="D81" s="529"/>
      <c r="E81" s="530"/>
      <c r="F81" s="1672"/>
      <c r="G81" s="3"/>
      <c r="H81" s="3"/>
      <c r="I81" s="3"/>
      <c r="J81" s="4"/>
      <c r="K81" s="4"/>
      <c r="L81" s="4"/>
      <c r="M81" s="4"/>
      <c r="N81" s="4"/>
      <c r="Z81" s="1547"/>
      <c r="AA81" s="1601"/>
      <c r="AG81" s="790"/>
      <c r="AK81" s="1601"/>
    </row>
    <row r="82" spans="1:37" ht="25.2">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9.6">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52.8">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48">
      <c r="A85" s="2669" t="s">
        <v>3155</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3.8">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6.4">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6.4">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36">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40.200000000000003"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3.8">
      <c r="A91" s="2677" t="s">
        <v>2499</v>
      </c>
      <c r="B91" s="2678">
        <f>1+E93</f>
        <v>1</v>
      </c>
      <c r="C91" s="2671"/>
      <c r="D91" s="2672"/>
      <c r="E91" s="1397"/>
      <c r="F91" s="1397"/>
      <c r="G91" s="2673"/>
      <c r="H91" s="2674"/>
      <c r="I91" s="2675"/>
      <c r="J91" s="2676"/>
      <c r="K91" s="2676"/>
      <c r="L91" s="2676"/>
      <c r="M91" s="2676"/>
      <c r="N91" s="2676"/>
    </row>
    <row r="92" spans="1:37" ht="25.2">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52.8">
      <c r="A94" s="2679" t="s">
        <v>3158</v>
      </c>
      <c r="B94" s="2670"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48">
      <c r="A95" s="2669" t="s">
        <v>3154</v>
      </c>
      <c r="B95" s="2670">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7.200000000000003">
      <c r="A96" s="2679" t="s">
        <v>3159</v>
      </c>
      <c r="B96" s="2682" t="s">
        <v>3170</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9" t="s">
        <v>3160</v>
      </c>
      <c r="B97" s="2670">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36">
      <c r="A98" s="2679" t="s">
        <v>3161</v>
      </c>
      <c r="B98" s="2683" t="s">
        <v>3171</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6.4">
      <c r="A99" s="2679" t="s">
        <v>3162</v>
      </c>
      <c r="B99" s="2670"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6.4">
      <c r="A100" s="2679" t="s">
        <v>3163</v>
      </c>
      <c r="B100" s="2670"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40.200000000000003" thickBot="1">
      <c r="A101" s="2680" t="s">
        <v>3164</v>
      </c>
      <c r="B101" s="2684"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25" t="s">
        <v>3179</v>
      </c>
      <c r="B103" s="5025"/>
      <c r="C103" s="5025"/>
      <c r="D103" s="5025"/>
      <c r="E103" s="5025"/>
      <c r="F103" s="5025"/>
      <c r="G103" s="5025"/>
      <c r="H103" s="5025"/>
      <c r="I103" s="5025"/>
      <c r="J103" s="5025"/>
      <c r="K103" s="2687"/>
      <c r="L103" s="2687"/>
      <c r="M103" s="2687"/>
      <c r="N103" s="2687"/>
    </row>
    <row r="104" spans="1:14">
      <c r="A104" s="5026" t="s">
        <v>3180</v>
      </c>
      <c r="B104" s="5026" t="s">
        <v>3181</v>
      </c>
      <c r="C104" s="4591" t="s">
        <v>3182</v>
      </c>
      <c r="D104" s="4592"/>
      <c r="E104" s="4592"/>
      <c r="F104" s="4592"/>
      <c r="G104" s="4592"/>
      <c r="H104" s="4592"/>
      <c r="I104" s="4592"/>
      <c r="J104" s="4592"/>
      <c r="K104" s="4592"/>
      <c r="L104" s="4592"/>
      <c r="M104" s="4592"/>
      <c r="N104" s="4593"/>
    </row>
    <row r="105" spans="1:14">
      <c r="A105" s="5026"/>
      <c r="B105" s="5026"/>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6" t="s">
        <v>3195</v>
      </c>
      <c r="B106" s="2688">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17"/>
      <c r="B107" s="2688">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17"/>
      <c r="B108" s="2688">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17"/>
      <c r="B109" s="2688">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17"/>
      <c r="B110" s="2688">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17"/>
      <c r="B111" s="2688" t="s">
        <v>3153</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18"/>
      <c r="B112" s="2688">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19" t="s">
        <v>3196</v>
      </c>
      <c r="B113" s="5019"/>
      <c r="C113" s="5019"/>
      <c r="D113" s="5019"/>
      <c r="E113" s="5019"/>
      <c r="F113" s="5019"/>
      <c r="G113" s="5019"/>
      <c r="H113" s="5019"/>
      <c r="I113" s="5019"/>
      <c r="J113" s="5019"/>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85" t="s">
        <v>3197</v>
      </c>
      <c r="B116" s="4589">
        <f>G3</f>
        <v>2.5</v>
      </c>
      <c r="C116" s="4586" t="s">
        <v>3198</v>
      </c>
      <c r="D116" s="4590">
        <f>SUMPRODUCT((A118:A122=F116)*(B117:M117=H116)*B118:M122)</f>
        <v>0.90080000000000005</v>
      </c>
      <c r="E116" s="4586" t="s">
        <v>3199</v>
      </c>
      <c r="F116" s="4587" t="str">
        <f>E2</f>
        <v>住宅</v>
      </c>
      <c r="G116" s="4586" t="s">
        <v>3200</v>
      </c>
      <c r="H116" s="4587" t="str">
        <f>G2</f>
        <v>七级</v>
      </c>
      <c r="I116" s="4588"/>
      <c r="J116" s="2691"/>
      <c r="K116" s="2691"/>
      <c r="L116" s="2691"/>
      <c r="M116" s="2691"/>
      <c r="N116" s="2690"/>
    </row>
    <row r="117" spans="1:14">
      <c r="A117" s="4581"/>
      <c r="B117" s="2692" t="s">
        <v>3201</v>
      </c>
      <c r="C117" s="2692" t="s">
        <v>3202</v>
      </c>
      <c r="D117" s="2692" t="s">
        <v>3203</v>
      </c>
      <c r="E117" s="2692" t="s">
        <v>3204</v>
      </c>
      <c r="F117" s="2692" t="s">
        <v>3205</v>
      </c>
      <c r="G117" s="2692" t="s">
        <v>3206</v>
      </c>
      <c r="H117" s="4582" t="s">
        <v>3207</v>
      </c>
      <c r="I117" s="4582" t="s">
        <v>3208</v>
      </c>
      <c r="J117" s="2692" t="s">
        <v>3209</v>
      </c>
      <c r="K117" s="2692" t="s">
        <v>3210</v>
      </c>
      <c r="L117" s="2692" t="s">
        <v>3211</v>
      </c>
      <c r="M117" s="4583" t="s">
        <v>3212</v>
      </c>
      <c r="N117" s="2690"/>
    </row>
    <row r="118" spans="1:14">
      <c r="A118" s="2693" t="s">
        <v>3213</v>
      </c>
      <c r="B118" s="4577">
        <f>ROUND(0.9968-0.011*B116,4)</f>
        <v>0.96930000000000005</v>
      </c>
      <c r="C118" s="4577">
        <f>B118</f>
        <v>0.96930000000000005</v>
      </c>
      <c r="D118" s="4577">
        <f>ROUND(0.949-0.014*B116,4)</f>
        <v>0.91400000000000003</v>
      </c>
      <c r="E118" s="4577">
        <f>D118</f>
        <v>0.91400000000000003</v>
      </c>
      <c r="F118" s="4577">
        <f>E118</f>
        <v>0.91400000000000003</v>
      </c>
      <c r="G118" s="4577">
        <f>F118</f>
        <v>0.91400000000000003</v>
      </c>
      <c r="H118" s="4577">
        <f>G118</f>
        <v>0.91400000000000003</v>
      </c>
      <c r="I118" s="4577">
        <f>ROUND(0.8486-0.018*B116,4)</f>
        <v>0.80359999999999998</v>
      </c>
      <c r="J118" s="4577">
        <f t="shared" ref="J118:M122" si="35">I118</f>
        <v>0.80359999999999998</v>
      </c>
      <c r="K118" s="4577">
        <f t="shared" si="35"/>
        <v>0.80359999999999998</v>
      </c>
      <c r="L118" s="4577">
        <f t="shared" si="35"/>
        <v>0.80359999999999998</v>
      </c>
      <c r="M118" s="4578">
        <f t="shared" si="35"/>
        <v>0.80359999999999998</v>
      </c>
      <c r="N118" s="2690"/>
    </row>
    <row r="119" spans="1:14">
      <c r="A119" s="2693" t="s">
        <v>3214</v>
      </c>
      <c r="B119" s="4577">
        <f>ROUND(0.993-0.0112*B116,4)</f>
        <v>0.96499999999999997</v>
      </c>
      <c r="C119" s="4577">
        <f>B119</f>
        <v>0.96499999999999997</v>
      </c>
      <c r="D119" s="4577">
        <f>ROUND(0.9415-0.0142*B116,4)</f>
        <v>0.90600000000000003</v>
      </c>
      <c r="E119" s="4577">
        <f t="shared" ref="E119:H120" si="36">D119</f>
        <v>0.90600000000000003</v>
      </c>
      <c r="F119" s="4577">
        <f t="shared" si="36"/>
        <v>0.90600000000000003</v>
      </c>
      <c r="G119" s="4577">
        <f t="shared" si="36"/>
        <v>0.90600000000000003</v>
      </c>
      <c r="H119" s="4577">
        <f t="shared" si="36"/>
        <v>0.90600000000000003</v>
      </c>
      <c r="I119" s="4577">
        <f>ROUND(0.838-0.0182*B116,4)</f>
        <v>0.79249999999999998</v>
      </c>
      <c r="J119" s="4577">
        <f t="shared" si="35"/>
        <v>0.79249999999999998</v>
      </c>
      <c r="K119" s="4577">
        <f t="shared" si="35"/>
        <v>0.79249999999999998</v>
      </c>
      <c r="L119" s="4577">
        <f t="shared" si="35"/>
        <v>0.79249999999999998</v>
      </c>
      <c r="M119" s="4578">
        <f t="shared" si="35"/>
        <v>0.79249999999999998</v>
      </c>
      <c r="N119" s="2690"/>
    </row>
    <row r="120" spans="1:14">
      <c r="A120" s="2693" t="s">
        <v>3215</v>
      </c>
      <c r="B120" s="4577">
        <f>ROUND(0.9448-0.0115*B116,4)</f>
        <v>0.91610000000000003</v>
      </c>
      <c r="C120" s="4577">
        <f>B120</f>
        <v>0.91610000000000003</v>
      </c>
      <c r="D120" s="4577">
        <f>ROUND(0.937-0.0145*B116,4)</f>
        <v>0.90080000000000005</v>
      </c>
      <c r="E120" s="4577">
        <f t="shared" si="36"/>
        <v>0.90080000000000005</v>
      </c>
      <c r="F120" s="4577">
        <f t="shared" si="36"/>
        <v>0.90080000000000005</v>
      </c>
      <c r="G120" s="4577">
        <f t="shared" si="36"/>
        <v>0.90080000000000005</v>
      </c>
      <c r="H120" s="4577">
        <f t="shared" si="36"/>
        <v>0.90080000000000005</v>
      </c>
      <c r="I120" s="4577">
        <f>ROUND(0.7965-0.0185*B116,4)</f>
        <v>0.75029999999999997</v>
      </c>
      <c r="J120" s="4577">
        <f t="shared" si="35"/>
        <v>0.75029999999999997</v>
      </c>
      <c r="K120" s="4577">
        <f t="shared" si="35"/>
        <v>0.75029999999999997</v>
      </c>
      <c r="L120" s="4577">
        <f t="shared" si="35"/>
        <v>0.75029999999999997</v>
      </c>
      <c r="M120" s="4578">
        <f t="shared" si="35"/>
        <v>0.75029999999999997</v>
      </c>
      <c r="N120" s="2690"/>
    </row>
    <row r="121" spans="1:14">
      <c r="A121" s="2693" t="s">
        <v>3216</v>
      </c>
      <c r="B121" s="4577">
        <f>ROUND(0.7836-0.012*B116,4)</f>
        <v>0.75360000000000005</v>
      </c>
      <c r="C121" s="4577">
        <f>B121</f>
        <v>0.75360000000000005</v>
      </c>
      <c r="D121" s="4577">
        <f>ROUND(0.753-0.015*B116,4)</f>
        <v>0.71550000000000002</v>
      </c>
      <c r="E121" s="4577">
        <f>D121</f>
        <v>0.71550000000000002</v>
      </c>
      <c r="F121" s="4577">
        <f>E121</f>
        <v>0.71550000000000002</v>
      </c>
      <c r="G121" s="4577">
        <f>ROUND(0.6612-0.018*B116,4)</f>
        <v>0.61619999999999997</v>
      </c>
      <c r="H121" s="4577">
        <f>G121</f>
        <v>0.61619999999999997</v>
      </c>
      <c r="I121" s="4577">
        <f>ROUND(0.5905-0.019*B116,4)</f>
        <v>0.54300000000000004</v>
      </c>
      <c r="J121" s="4577">
        <f t="shared" si="35"/>
        <v>0.54300000000000004</v>
      </c>
      <c r="K121" s="4577">
        <f t="shared" si="35"/>
        <v>0.54300000000000004</v>
      </c>
      <c r="L121" s="4577">
        <f t="shared" si="35"/>
        <v>0.54300000000000004</v>
      </c>
      <c r="M121" s="4578">
        <f t="shared" si="35"/>
        <v>0.54300000000000004</v>
      </c>
      <c r="N121" s="2690"/>
    </row>
    <row r="122" spans="1:14" ht="13.8" thickBot="1">
      <c r="A122" s="4584" t="s">
        <v>2499</v>
      </c>
      <c r="B122" s="4579">
        <f>ROUND(0.9404-0.0106*B116,4)</f>
        <v>0.91390000000000005</v>
      </c>
      <c r="C122" s="4579">
        <f>B122</f>
        <v>0.91390000000000005</v>
      </c>
      <c r="D122" s="4579">
        <f>ROUND(0.8955-0.0135*B116,4)</f>
        <v>0.86180000000000001</v>
      </c>
      <c r="E122" s="4579">
        <f t="shared" ref="E122:H122" si="37">D122</f>
        <v>0.86180000000000001</v>
      </c>
      <c r="F122" s="4579">
        <f t="shared" si="37"/>
        <v>0.86180000000000001</v>
      </c>
      <c r="G122" s="4579">
        <f t="shared" si="37"/>
        <v>0.86180000000000001</v>
      </c>
      <c r="H122" s="4579">
        <f t="shared" si="37"/>
        <v>0.86180000000000001</v>
      </c>
      <c r="I122" s="4579">
        <f>ROUND(0.7632-0.0166*B116,4)</f>
        <v>0.72170000000000001</v>
      </c>
      <c r="J122" s="4579">
        <f t="shared" si="35"/>
        <v>0.72170000000000001</v>
      </c>
      <c r="K122" s="4579">
        <f t="shared" si="35"/>
        <v>0.72170000000000001</v>
      </c>
      <c r="L122" s="4579">
        <f t="shared" si="35"/>
        <v>0.72170000000000001</v>
      </c>
      <c r="M122" s="4580">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3219</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1676</v>
      </c>
      <c r="B4" s="242"/>
      <c r="C4" s="4883" t="s">
        <v>1677</v>
      </c>
      <c r="D4" s="4884"/>
      <c r="E4" s="4885" t="s">
        <v>1678</v>
      </c>
      <c r="F4" s="4886"/>
      <c r="G4" s="4883" t="s">
        <v>1679</v>
      </c>
      <c r="H4" s="4884"/>
      <c r="I4" s="4883" t="s">
        <v>1680</v>
      </c>
      <c r="J4" s="4884"/>
      <c r="K4" s="406" t="s">
        <v>1681</v>
      </c>
      <c r="L4" s="2146"/>
      <c r="M4" s="2147"/>
      <c r="N4" s="2147"/>
      <c r="O4" s="2147"/>
      <c r="P4" s="4887" t="s">
        <v>1682</v>
      </c>
      <c r="Q4" s="4888"/>
      <c r="R4" s="4893" t="s">
        <v>1678</v>
      </c>
      <c r="S4" s="4894"/>
      <c r="T4" s="4893" t="s">
        <v>1679</v>
      </c>
      <c r="U4" s="4894"/>
      <c r="V4" s="4871" t="s">
        <v>1680</v>
      </c>
      <c r="W4" s="4871"/>
      <c r="X4" s="963"/>
      <c r="Y4" s="4893" t="s">
        <v>1682</v>
      </c>
      <c r="Z4" s="4894"/>
      <c r="AA4" s="4880" t="s">
        <v>1678</v>
      </c>
      <c r="AB4" s="4881" t="s">
        <v>1679</v>
      </c>
      <c r="AC4" s="4880" t="s">
        <v>1680</v>
      </c>
    </row>
    <row r="5" spans="1:29">
      <c r="A5" s="244"/>
      <c r="B5" s="245"/>
      <c r="C5" s="5004" t="s">
        <v>1580</v>
      </c>
      <c r="D5" s="4902"/>
      <c r="E5" s="5010" t="s">
        <v>1581</v>
      </c>
      <c r="F5" s="4910"/>
      <c r="G5" s="5004" t="s">
        <v>1582</v>
      </c>
      <c r="H5" s="4902"/>
      <c r="I5" s="5004" t="s">
        <v>1583</v>
      </c>
      <c r="J5" s="4902"/>
      <c r="K5" s="406"/>
      <c r="L5" s="2146"/>
      <c r="M5" s="2147"/>
      <c r="N5" s="2147"/>
      <c r="O5" s="2147"/>
      <c r="P5" s="4889"/>
      <c r="Q5" s="4890"/>
      <c r="R5" s="4895"/>
      <c r="S5" s="4896"/>
      <c r="T5" s="4895"/>
      <c r="U5" s="4896"/>
      <c r="V5" s="4871"/>
      <c r="W5" s="4871"/>
      <c r="X5" s="963"/>
      <c r="Y5" s="4895"/>
      <c r="Z5" s="4896"/>
      <c r="AA5" s="4881"/>
      <c r="AB5" s="4881"/>
      <c r="AC5" s="4881"/>
    </row>
    <row r="6" spans="1:29" ht="15" thickBot="1">
      <c r="A6" s="246"/>
      <c r="B6" s="247"/>
      <c r="C6" s="4899" t="s">
        <v>1584</v>
      </c>
      <c r="D6" s="4900"/>
      <c r="E6" s="5008" t="s">
        <v>1584</v>
      </c>
      <c r="F6" s="4908"/>
      <c r="G6" s="4899" t="s">
        <v>1584</v>
      </c>
      <c r="H6" s="4900"/>
      <c r="I6" s="4899" t="s">
        <v>1584</v>
      </c>
      <c r="J6" s="4900"/>
      <c r="K6" s="406" t="s">
        <v>1585</v>
      </c>
      <c r="L6" s="2146"/>
      <c r="M6" s="2147"/>
      <c r="N6" s="2147"/>
      <c r="O6" s="2147"/>
      <c r="P6" s="4891"/>
      <c r="Q6" s="4892"/>
      <c r="R6" s="4895"/>
      <c r="S6" s="4896"/>
      <c r="T6" s="4897"/>
      <c r="U6" s="4898"/>
      <c r="V6" s="4871"/>
      <c r="W6" s="4871"/>
      <c r="X6" s="963"/>
      <c r="Y6" s="4897"/>
      <c r="Z6" s="4898"/>
      <c r="AA6" s="4882"/>
      <c r="AB6" s="4882"/>
      <c r="AC6" s="4882"/>
    </row>
    <row r="7" spans="1:29" s="49" customFormat="1" ht="15" thickBot="1">
      <c r="A7" s="248" t="s">
        <v>1586</v>
      </c>
      <c r="B7" s="249"/>
      <c r="C7" s="250">
        <f>'数据-取费表'!B2</f>
        <v>46093</v>
      </c>
      <c r="D7" s="3140">
        <v>100</v>
      </c>
      <c r="E7" s="251"/>
      <c r="F7" s="4052">
        <f>SUMIF(46:46,YEAR(E7)&amp;"-"&amp;MONTH(E7),47:47)</f>
        <v>0</v>
      </c>
      <c r="G7" s="1533"/>
      <c r="H7" s="4063">
        <f>SUMIF(46:46,YEAR(G7)&amp;"-"&amp;MONTH(G7),47:47)</f>
        <v>0</v>
      </c>
      <c r="I7" s="251"/>
      <c r="J7" s="4063">
        <f>SUMIF(46:46,YEAR(I7)&amp;"-"&amp;MONTH(I7),47:47)</f>
        <v>0</v>
      </c>
      <c r="K7" s="407"/>
      <c r="L7" s="2148"/>
      <c r="M7" s="2149"/>
      <c r="N7" s="2149"/>
      <c r="O7" s="2149"/>
      <c r="P7" s="4903" t="s">
        <v>1587</v>
      </c>
      <c r="Q7" s="4905"/>
      <c r="R7" s="4079" t="s">
        <v>13</v>
      </c>
      <c r="S7" s="4082">
        <f t="shared" ref="S7:S14" si="0">F7</f>
        <v>0</v>
      </c>
      <c r="T7" s="4079" t="s">
        <v>13</v>
      </c>
      <c r="U7" s="4082">
        <f t="shared" ref="U7:U14" si="1">H7</f>
        <v>0</v>
      </c>
      <c r="V7" s="4079" t="s">
        <v>13</v>
      </c>
      <c r="W7" s="4082">
        <f t="shared" ref="W7:W14" si="2">J7</f>
        <v>0</v>
      </c>
      <c r="X7" s="504"/>
      <c r="Y7" s="4903" t="s">
        <v>1587</v>
      </c>
      <c r="Z7" s="4904"/>
      <c r="AA7" s="505" t="e">
        <f>D7/F7</f>
        <v>#DIV/0!</v>
      </c>
      <c r="AB7" s="505" t="e">
        <f>D7/H7</f>
        <v>#DIV/0!</v>
      </c>
      <c r="AC7" s="505" t="e">
        <f>D7/J7</f>
        <v>#DIV/0!</v>
      </c>
    </row>
    <row r="8" spans="1:29" s="49" customFormat="1" ht="15" thickBot="1">
      <c r="A8" s="248" t="s">
        <v>1588</v>
      </c>
      <c r="B8" s="249"/>
      <c r="C8" s="252"/>
      <c r="D8" s="3140">
        <v>100</v>
      </c>
      <c r="E8" s="252"/>
      <c r="F8" s="4052">
        <f>SUMIF(49:49,E8,50:50)-SUMIF(49:49,C8,50:50)+100</f>
        <v>100</v>
      </c>
      <c r="G8" s="252"/>
      <c r="H8" s="4063">
        <f>SUMIF(49:49,G8,50:50)-SUMIF(49:49,C8,50:50)+100</f>
        <v>100</v>
      </c>
      <c r="I8" s="252"/>
      <c r="J8" s="4063">
        <f>SUMIF(49:49,I8,50:50)-SUMIF(49:49,C8,50:50)+100</f>
        <v>100</v>
      </c>
      <c r="K8" s="407"/>
      <c r="L8" s="2148"/>
      <c r="M8" s="2149"/>
      <c r="N8" s="2149"/>
      <c r="O8" s="2149"/>
      <c r="P8" s="4903" t="s">
        <v>1590</v>
      </c>
      <c r="Q8" s="4904"/>
      <c r="R8" s="4079" t="s">
        <v>13</v>
      </c>
      <c r="S8" s="4082">
        <f t="shared" si="0"/>
        <v>100</v>
      </c>
      <c r="T8" s="4079" t="s">
        <v>13</v>
      </c>
      <c r="U8" s="4082">
        <f t="shared" si="1"/>
        <v>100</v>
      </c>
      <c r="V8" s="4079" t="s">
        <v>13</v>
      </c>
      <c r="W8" s="4082">
        <f t="shared" si="2"/>
        <v>100</v>
      </c>
      <c r="X8" s="504"/>
      <c r="Y8" s="4903" t="s">
        <v>1590</v>
      </c>
      <c r="Z8" s="4904"/>
      <c r="AA8" s="505">
        <f t="shared" ref="AA8:AA34" si="3">D8/F8</f>
        <v>1</v>
      </c>
      <c r="AB8" s="505">
        <f t="shared" ref="AB8:AB34" si="4">D8/H8</f>
        <v>1</v>
      </c>
      <c r="AC8" s="505">
        <f t="shared" ref="AC8:AC34" si="5">D8/J8</f>
        <v>1</v>
      </c>
    </row>
    <row r="9" spans="1:29" s="49" customFormat="1" ht="14.4">
      <c r="A9" s="253" t="s">
        <v>1591</v>
      </c>
      <c r="B9" s="34" t="s">
        <v>1592</v>
      </c>
      <c r="C9" s="254"/>
      <c r="D9" s="3141">
        <v>100</v>
      </c>
      <c r="E9" s="256"/>
      <c r="F9" s="4085">
        <f>SUMIF(51:51,E9,52:52)-SUMIF(51:51,C9,52:52)+100</f>
        <v>100</v>
      </c>
      <c r="G9" s="256"/>
      <c r="H9" s="4053">
        <f>SUMIF(51:51,G9,52:52)-SUMIF(51:51,C9,52:52)+100</f>
        <v>100</v>
      </c>
      <c r="I9" s="256"/>
      <c r="J9" s="4053">
        <f>SUMIF(51:51,I9,52:52)-SUMIF(51:51,C9,52:52)+100</f>
        <v>100</v>
      </c>
      <c r="K9" s="407"/>
      <c r="L9" s="2148"/>
      <c r="M9" s="2149"/>
      <c r="N9" s="2149"/>
      <c r="O9" s="2203"/>
      <c r="P9" s="4870" t="s">
        <v>1593</v>
      </c>
      <c r="Q9" s="952" t="str">
        <f t="shared" ref="Q9:Q14" si="6">B9</f>
        <v>用途</v>
      </c>
      <c r="R9" s="4079" t="s">
        <v>13</v>
      </c>
      <c r="S9" s="4082">
        <f t="shared" si="0"/>
        <v>100</v>
      </c>
      <c r="T9" s="4079" t="s">
        <v>13</v>
      </c>
      <c r="U9" s="4082">
        <f t="shared" si="1"/>
        <v>100</v>
      </c>
      <c r="V9" s="4079" t="s">
        <v>13</v>
      </c>
      <c r="W9" s="4082">
        <f t="shared" si="2"/>
        <v>100</v>
      </c>
      <c r="X9" s="504"/>
      <c r="Y9" s="4879" t="s">
        <v>1594</v>
      </c>
      <c r="Z9" s="28" t="str">
        <f t="shared" ref="Z9:Z14" si="7">Q9</f>
        <v>用途</v>
      </c>
      <c r="AA9" s="505">
        <f t="shared" si="3"/>
        <v>1</v>
      </c>
      <c r="AB9" s="505">
        <f t="shared" si="4"/>
        <v>1</v>
      </c>
      <c r="AC9" s="505">
        <f t="shared" si="5"/>
        <v>1</v>
      </c>
    </row>
    <row r="10" spans="1:29" s="259" customFormat="1" ht="28.8">
      <c r="A10" s="257"/>
      <c r="B10" s="258" t="s">
        <v>1595</v>
      </c>
      <c r="C10" s="2705"/>
      <c r="D10" s="3142">
        <v>100</v>
      </c>
      <c r="E10" s="2705"/>
      <c r="F10" s="4061">
        <f>SUMIF(53:53,E10,54:54)-SUMIF(53:53,C10,54:54)+100</f>
        <v>100</v>
      </c>
      <c r="G10" s="2705"/>
      <c r="H10" s="4054">
        <f>SUMIF(53:53,G10,54:54)-SUMIF(53:53,C10,54:54)+100</f>
        <v>100</v>
      </c>
      <c r="I10" s="2705"/>
      <c r="J10" s="4054">
        <f>SUMIF(53:53,I10,54:54)-SUMIF(53:53,C10,54:54)+100</f>
        <v>100</v>
      </c>
      <c r="K10" s="407"/>
      <c r="L10" s="2150"/>
      <c r="M10" s="2151"/>
      <c r="N10" s="2151"/>
      <c r="O10" s="2204"/>
      <c r="P10" s="4870"/>
      <c r="Q10" s="952" t="str">
        <f t="shared" si="6"/>
        <v>土地使用年限（年）</v>
      </c>
      <c r="R10" s="4079" t="s">
        <v>13</v>
      </c>
      <c r="S10" s="4082">
        <f t="shared" si="0"/>
        <v>100</v>
      </c>
      <c r="T10" s="4079" t="s">
        <v>13</v>
      </c>
      <c r="U10" s="4082">
        <f t="shared" si="1"/>
        <v>100</v>
      </c>
      <c r="V10" s="4079" t="s">
        <v>13</v>
      </c>
      <c r="W10" s="4082">
        <f t="shared" si="2"/>
        <v>100</v>
      </c>
      <c r="X10" s="504"/>
      <c r="Y10" s="4879"/>
      <c r="Z10" s="28" t="str">
        <f t="shared" si="7"/>
        <v>土地使用年限（年）</v>
      </c>
      <c r="AA10" s="505">
        <f t="shared" si="3"/>
        <v>1</v>
      </c>
      <c r="AB10" s="505">
        <f t="shared" si="4"/>
        <v>1</v>
      </c>
      <c r="AC10" s="505">
        <f t="shared" si="5"/>
        <v>1</v>
      </c>
    </row>
    <row r="11" spans="1:29" ht="15">
      <c r="A11" s="260"/>
      <c r="B11" s="1462">
        <v>111</v>
      </c>
      <c r="C11" s="264"/>
      <c r="D11" s="3142">
        <v>100</v>
      </c>
      <c r="E11" s="284"/>
      <c r="F11" s="4061">
        <f>SUMIF(55:55,E11,56:56)-SUMIF(55:55,C11,56:56)+100</f>
        <v>100</v>
      </c>
      <c r="G11" s="284"/>
      <c r="H11" s="4054">
        <f>SUMIF(55:55,G11,56:56)-SUMIF(55:55,C11,56:56)+100</f>
        <v>100</v>
      </c>
      <c r="I11" s="284"/>
      <c r="J11" s="4054">
        <f>SUMIF(55:55,I11,56:56)-SUMIF(55:55,C11,56:56)+100</f>
        <v>100</v>
      </c>
      <c r="K11" s="409"/>
      <c r="L11" s="2152"/>
      <c r="M11" s="2147"/>
      <c r="N11" s="2147"/>
      <c r="O11" s="2205"/>
      <c r="P11" s="4870"/>
      <c r="Q11" s="952">
        <f t="shared" si="6"/>
        <v>111</v>
      </c>
      <c r="R11" s="4079" t="s">
        <v>13</v>
      </c>
      <c r="S11" s="4082">
        <f t="shared" si="0"/>
        <v>100</v>
      </c>
      <c r="T11" s="4079" t="s">
        <v>13</v>
      </c>
      <c r="U11" s="4082">
        <f t="shared" si="1"/>
        <v>100</v>
      </c>
      <c r="V11" s="4079" t="s">
        <v>13</v>
      </c>
      <c r="W11" s="4082">
        <f t="shared" si="2"/>
        <v>100</v>
      </c>
      <c r="X11" s="504"/>
      <c r="Y11" s="4879"/>
      <c r="Z11" s="28">
        <f t="shared" si="7"/>
        <v>111</v>
      </c>
      <c r="AA11" s="505">
        <f t="shared" si="3"/>
        <v>1</v>
      </c>
      <c r="AB11" s="505">
        <f t="shared" si="4"/>
        <v>1</v>
      </c>
      <c r="AC11" s="505">
        <f t="shared" si="5"/>
        <v>1</v>
      </c>
    </row>
    <row r="12" spans="1:29" s="49" customFormat="1" ht="15">
      <c r="A12" s="263"/>
      <c r="B12" s="1462">
        <v>111</v>
      </c>
      <c r="C12" s="264"/>
      <c r="D12" s="3143">
        <v>100</v>
      </c>
      <c r="E12" s="284"/>
      <c r="F12" s="4061">
        <f>SUMIF(57:57,E12,58:58)-SUMIF(57:57,C12,58:58)+100</f>
        <v>100</v>
      </c>
      <c r="G12" s="284"/>
      <c r="H12" s="4054">
        <f>SUMIF(57:57,G12,58:58)-SUMIF(57:57,C12,58:58)+100</f>
        <v>100</v>
      </c>
      <c r="I12" s="284"/>
      <c r="J12" s="4054">
        <f>SUMIF(57:57,I12,58:58)-SUMIF(57:57,C12,58:58)+100</f>
        <v>100</v>
      </c>
      <c r="K12" s="409"/>
      <c r="L12" s="2148"/>
      <c r="M12" s="2149"/>
      <c r="N12" s="2149"/>
      <c r="O12" s="2203"/>
      <c r="P12" s="4870"/>
      <c r="Q12" s="952">
        <f t="shared" si="6"/>
        <v>111</v>
      </c>
      <c r="R12" s="4079" t="s">
        <v>13</v>
      </c>
      <c r="S12" s="4082">
        <f t="shared" si="0"/>
        <v>100</v>
      </c>
      <c r="T12" s="4079" t="s">
        <v>13</v>
      </c>
      <c r="U12" s="4082">
        <f t="shared" si="1"/>
        <v>100</v>
      </c>
      <c r="V12" s="4079" t="s">
        <v>13</v>
      </c>
      <c r="W12" s="4082">
        <f t="shared" si="2"/>
        <v>100</v>
      </c>
      <c r="X12" s="504"/>
      <c r="Y12" s="4879"/>
      <c r="Z12" s="28">
        <f t="shared" si="7"/>
        <v>111</v>
      </c>
      <c r="AA12" s="505">
        <f>D12/F12</f>
        <v>1</v>
      </c>
      <c r="AB12" s="505">
        <f>D12/H12</f>
        <v>1</v>
      </c>
      <c r="AC12" s="505">
        <f>D12/J12</f>
        <v>1</v>
      </c>
    </row>
    <row r="13" spans="1:29" ht="15.6" thickBot="1">
      <c r="A13" s="260"/>
      <c r="B13" s="1462">
        <v>111</v>
      </c>
      <c r="C13" s="265"/>
      <c r="D13" s="3144">
        <v>100</v>
      </c>
      <c r="E13" s="284"/>
      <c r="F13" s="4061">
        <f>SUMIF(59:59,E13,60:60)-SUMIF(59:59,C13,60:60)+100</f>
        <v>100</v>
      </c>
      <c r="G13" s="1534"/>
      <c r="H13" s="4055">
        <f>SUMIF(59:59,G13,60:60)-SUMIF(59:59,C13,60:60)+100</f>
        <v>100</v>
      </c>
      <c r="I13" s="284"/>
      <c r="J13" s="4058">
        <f>SUMIF(59:59,I13,60:60)-SUMIF(59:59,C13,60:60)+100</f>
        <v>100</v>
      </c>
      <c r="K13" s="409"/>
      <c r="L13" s="2153"/>
      <c r="M13" s="2147"/>
      <c r="N13" s="2147"/>
      <c r="O13" s="2205"/>
      <c r="P13" s="4870"/>
      <c r="Q13" s="952">
        <f t="shared" si="6"/>
        <v>111</v>
      </c>
      <c r="R13" s="4079" t="s">
        <v>13</v>
      </c>
      <c r="S13" s="4082">
        <f t="shared" si="0"/>
        <v>100</v>
      </c>
      <c r="T13" s="4079" t="s">
        <v>13</v>
      </c>
      <c r="U13" s="4082">
        <f t="shared" si="1"/>
        <v>100</v>
      </c>
      <c r="V13" s="4079" t="s">
        <v>13</v>
      </c>
      <c r="W13" s="4082">
        <f t="shared" si="2"/>
        <v>100</v>
      </c>
      <c r="X13" s="504"/>
      <c r="Y13" s="4879"/>
      <c r="Z13" s="28">
        <f t="shared" si="7"/>
        <v>111</v>
      </c>
      <c r="AA13" s="505">
        <f t="shared" si="3"/>
        <v>1</v>
      </c>
      <c r="AB13" s="505">
        <f t="shared" si="4"/>
        <v>1</v>
      </c>
      <c r="AC13" s="505">
        <f t="shared" si="5"/>
        <v>1</v>
      </c>
    </row>
    <row r="14" spans="1:29" ht="96.6">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6">
        <f>SUMIF(61:61,E15,62:62)-SUMIF(61:61,C15,62:62)+100</f>
        <v>100</v>
      </c>
      <c r="G14" s="270"/>
      <c r="H14" s="4056">
        <f>SUMIF(61:61,G15,62:62)-SUMIF(61:61,C15,62:62)+100</f>
        <v>100</v>
      </c>
      <c r="I14" s="269"/>
      <c r="J14" s="4056">
        <f>SUMIF(61:61,I15,62:62)-SUMIF(61:61,C15,62:62)+100</f>
        <v>100</v>
      </c>
      <c r="K14" s="410"/>
      <c r="L14" s="2153"/>
      <c r="M14" s="2147"/>
      <c r="N14" s="2147"/>
      <c r="O14" s="2205"/>
      <c r="P14" s="4875" t="s">
        <v>1598</v>
      </c>
      <c r="Q14" s="960" t="str">
        <f t="shared" si="6"/>
        <v>交通便捷度</v>
      </c>
      <c r="R14" s="4080" t="s">
        <v>13</v>
      </c>
      <c r="S14" s="4083">
        <f t="shared" si="0"/>
        <v>100</v>
      </c>
      <c r="T14" s="4080" t="s">
        <v>13</v>
      </c>
      <c r="U14" s="4083">
        <f t="shared" si="1"/>
        <v>100</v>
      </c>
      <c r="V14" s="4080" t="s">
        <v>13</v>
      </c>
      <c r="W14" s="4083">
        <f t="shared" si="2"/>
        <v>100</v>
      </c>
      <c r="X14" s="963"/>
      <c r="Y14" s="4875" t="s">
        <v>1598</v>
      </c>
      <c r="Z14" s="964" t="str">
        <f t="shared" si="7"/>
        <v>交通便捷度</v>
      </c>
      <c r="AA14" s="961">
        <f t="shared" si="3"/>
        <v>1</v>
      </c>
      <c r="AB14" s="961">
        <f t="shared" si="4"/>
        <v>1</v>
      </c>
      <c r="AC14" s="961">
        <f t="shared" si="5"/>
        <v>1</v>
      </c>
    </row>
    <row r="15" spans="1:29" ht="15">
      <c r="A15" s="260"/>
      <c r="B15" s="271"/>
      <c r="C15" s="272"/>
      <c r="D15" s="3147"/>
      <c r="E15" s="272"/>
      <c r="F15" s="4067"/>
      <c r="G15" s="272"/>
      <c r="H15" s="274"/>
      <c r="I15" s="272"/>
      <c r="J15" s="273"/>
      <c r="K15" s="411"/>
      <c r="L15" s="2153"/>
      <c r="M15" s="2147"/>
      <c r="N15" s="2147"/>
      <c r="O15" s="2205"/>
      <c r="P15" s="4876"/>
      <c r="Q15" s="960"/>
      <c r="R15" s="4080"/>
      <c r="S15" s="4083"/>
      <c r="T15" s="4080"/>
      <c r="U15" s="4083"/>
      <c r="V15" s="4080"/>
      <c r="W15" s="4083"/>
      <c r="X15" s="963"/>
      <c r="Y15" s="4876"/>
      <c r="Z15" s="964"/>
      <c r="AA15" s="961">
        <v>1</v>
      </c>
      <c r="AB15" s="961">
        <v>1</v>
      </c>
      <c r="AC15" s="961">
        <v>1</v>
      </c>
    </row>
    <row r="16" spans="1:29" ht="41.4">
      <c r="A16" s="260"/>
      <c r="B16" s="275" t="s">
        <v>1719</v>
      </c>
      <c r="C16" s="1466" t="str">
        <f>IF(B1="工业",估价对象房地状况!G5,估价对象房地状况!C7)</f>
        <v>估价对象所在区域公共配套设施齐备情况</v>
      </c>
      <c r="D16" s="3149">
        <v>100</v>
      </c>
      <c r="E16" s="279"/>
      <c r="F16" s="4069">
        <f>SUMIF(63:63,E17,64:64)-SUMIF(63:63,C17,64:64)+100</f>
        <v>100</v>
      </c>
      <c r="G16" s="280"/>
      <c r="H16" s="4057">
        <f>SUMIF(63:63,G17,64:64)-SUMIF(63:63,C17,64:64)+100</f>
        <v>100</v>
      </c>
      <c r="I16" s="279"/>
      <c r="J16" s="4057">
        <f>SUMIF(63:63,I17,64:64)-SUMIF(63:63,C17,64:64)+100</f>
        <v>100</v>
      </c>
      <c r="K16" s="410"/>
      <c r="L16" s="2153"/>
      <c r="M16" s="2147"/>
      <c r="N16" s="2147"/>
      <c r="O16" s="2205"/>
      <c r="P16" s="4876"/>
      <c r="Q16" s="960" t="str">
        <f>B16</f>
        <v>公共配套设施</v>
      </c>
      <c r="R16" s="4080" t="s">
        <v>13</v>
      </c>
      <c r="S16" s="4083">
        <f>F16</f>
        <v>100</v>
      </c>
      <c r="T16" s="4080" t="s">
        <v>13</v>
      </c>
      <c r="U16" s="4083">
        <f>H16</f>
        <v>100</v>
      </c>
      <c r="V16" s="4080" t="s">
        <v>13</v>
      </c>
      <c r="W16" s="4083">
        <f>J16</f>
        <v>100</v>
      </c>
      <c r="X16" s="963"/>
      <c r="Y16" s="4876"/>
      <c r="Z16" s="964" t="str">
        <f>Q16</f>
        <v>公共配套设施</v>
      </c>
      <c r="AA16" s="961">
        <f t="shared" si="3"/>
        <v>1</v>
      </c>
      <c r="AB16" s="961">
        <f t="shared" si="4"/>
        <v>1</v>
      </c>
      <c r="AC16" s="961">
        <f t="shared" si="5"/>
        <v>1</v>
      </c>
    </row>
    <row r="17" spans="1:29" ht="15">
      <c r="A17" s="260"/>
      <c r="B17" s="278"/>
      <c r="C17" s="1467"/>
      <c r="D17" s="3147"/>
      <c r="E17" s="272"/>
      <c r="F17" s="4067"/>
      <c r="G17" s="272"/>
      <c r="H17" s="273"/>
      <c r="I17" s="272"/>
      <c r="J17" s="273"/>
      <c r="K17" s="411"/>
      <c r="L17" s="2153"/>
      <c r="M17" s="2147"/>
      <c r="N17" s="2147"/>
      <c r="O17" s="2205"/>
      <c r="P17" s="4876"/>
      <c r="Q17" s="960"/>
      <c r="R17" s="4080"/>
      <c r="S17" s="4083"/>
      <c r="T17" s="4080"/>
      <c r="U17" s="4083"/>
      <c r="V17" s="4080"/>
      <c r="W17" s="4083"/>
      <c r="X17" s="963"/>
      <c r="Y17" s="4876"/>
      <c r="Z17" s="964"/>
      <c r="AA17" s="961">
        <v>1</v>
      </c>
      <c r="AB17" s="961">
        <v>1</v>
      </c>
      <c r="AC17" s="961">
        <v>1</v>
      </c>
    </row>
    <row r="18" spans="1:29" ht="41.4">
      <c r="A18" s="260"/>
      <c r="B18" s="800" t="s">
        <v>1720</v>
      </c>
      <c r="C18" s="1466" t="str">
        <f>IF(B1="工业",估价对象房地状况!G6,估价对象房地状况!C8)</f>
        <v>估价对象所在区域基础设施水平</v>
      </c>
      <c r="D18" s="3149">
        <v>100</v>
      </c>
      <c r="E18" s="276"/>
      <c r="F18" s="4069">
        <f>SUMIF(65:65,E19,66:66)-SUMIF(65:65,C19,66:66)+100</f>
        <v>100</v>
      </c>
      <c r="G18" s="277"/>
      <c r="H18" s="4057">
        <f>SUMIF(65:65,G19,66:66)-SUMIF(65:65,C19,66:66)+100</f>
        <v>100</v>
      </c>
      <c r="I18" s="279"/>
      <c r="J18" s="4057">
        <f>SUMIF(65:65,I19,66:66)-SUMIF(65:65,C19,66:66)+100</f>
        <v>100</v>
      </c>
      <c r="K18" s="410"/>
      <c r="L18" s="2153"/>
      <c r="M18" s="2147"/>
      <c r="N18" s="2147"/>
      <c r="O18" s="2205"/>
      <c r="P18" s="4876"/>
      <c r="Q18" s="960" t="str">
        <f>B18</f>
        <v>基础设施水平</v>
      </c>
      <c r="R18" s="4080" t="s">
        <v>13</v>
      </c>
      <c r="S18" s="4083">
        <f>F18</f>
        <v>100</v>
      </c>
      <c r="T18" s="4080" t="s">
        <v>13</v>
      </c>
      <c r="U18" s="4083">
        <f>H18</f>
        <v>100</v>
      </c>
      <c r="V18" s="4080" t="s">
        <v>13</v>
      </c>
      <c r="W18" s="4083">
        <f>J18</f>
        <v>100</v>
      </c>
      <c r="X18" s="963"/>
      <c r="Y18" s="4876"/>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8"/>
      <c r="G19" s="1467"/>
      <c r="H19" s="273"/>
      <c r="I19" s="272"/>
      <c r="J19" s="273"/>
      <c r="K19" s="799"/>
      <c r="L19" s="2153"/>
      <c r="M19" s="2147"/>
      <c r="N19" s="2147"/>
      <c r="O19" s="2205"/>
      <c r="P19" s="4876"/>
      <c r="Q19" s="960"/>
      <c r="R19" s="4080"/>
      <c r="S19" s="4083"/>
      <c r="T19" s="4080"/>
      <c r="U19" s="4083"/>
      <c r="V19" s="4080"/>
      <c r="W19" s="4083"/>
      <c r="X19" s="963"/>
      <c r="Y19" s="4876"/>
      <c r="Z19" s="964"/>
      <c r="AA19" s="961">
        <v>1</v>
      </c>
      <c r="AB19" s="961">
        <v>1</v>
      </c>
      <c r="AC19" s="961">
        <v>1</v>
      </c>
    </row>
    <row r="20" spans="1:29" ht="55.2">
      <c r="A20" s="260"/>
      <c r="B20" s="275" t="s">
        <v>1741</v>
      </c>
      <c r="C20" s="1466" t="str">
        <f>IF(B1="工业",估价对象房地状况!G7,估价对象房地状况!C9)</f>
        <v>区域自然环境：；人文环境；综合评价环境状况一般</v>
      </c>
      <c r="D20" s="3149">
        <v>100</v>
      </c>
      <c r="E20" s="279"/>
      <c r="F20" s="4069">
        <f>SUMIF(67:67,E21,68:68)-SUMIF(67:67,C21,68:68)+100</f>
        <v>100</v>
      </c>
      <c r="G20" s="280"/>
      <c r="H20" s="274">
        <f>SUMIF(67:67,G21,68:68)-SUMIF(67:67,C21,68:68)+100</f>
        <v>100</v>
      </c>
      <c r="I20" s="276"/>
      <c r="J20" s="274">
        <f>SUMIF(67:67,I21,68:68)-SUMIF(67:67,C21,68:68)+100</f>
        <v>100</v>
      </c>
      <c r="K20" s="410"/>
      <c r="L20" s="2153"/>
      <c r="M20" s="2147"/>
      <c r="N20" s="2147"/>
      <c r="O20" s="2205"/>
      <c r="P20" s="4876"/>
      <c r="Q20" s="960" t="str">
        <f>B20</f>
        <v>自然及人文环境</v>
      </c>
      <c r="R20" s="4080" t="s">
        <v>13</v>
      </c>
      <c r="S20" s="4083">
        <f>F20</f>
        <v>100</v>
      </c>
      <c r="T20" s="4080" t="s">
        <v>13</v>
      </c>
      <c r="U20" s="4083">
        <f>H20</f>
        <v>100</v>
      </c>
      <c r="V20" s="4080" t="s">
        <v>13</v>
      </c>
      <c r="W20" s="4083">
        <f>J20</f>
        <v>100</v>
      </c>
      <c r="X20" s="963"/>
      <c r="Y20" s="4876"/>
      <c r="Z20" s="964" t="str">
        <f>Q20</f>
        <v>自然及人文环境</v>
      </c>
      <c r="AA20" s="961">
        <f t="shared" si="3"/>
        <v>1</v>
      </c>
      <c r="AB20" s="961">
        <f t="shared" si="4"/>
        <v>1</v>
      </c>
      <c r="AC20" s="961">
        <f t="shared" si="5"/>
        <v>1</v>
      </c>
    </row>
    <row r="21" spans="1:29" ht="15">
      <c r="A21" s="260"/>
      <c r="B21" s="278"/>
      <c r="C21" s="272"/>
      <c r="D21" s="3147"/>
      <c r="E21" s="272"/>
      <c r="F21" s="4067"/>
      <c r="G21" s="272"/>
      <c r="H21" s="273"/>
      <c r="I21" s="272"/>
      <c r="J21" s="273"/>
      <c r="K21" s="411"/>
      <c r="L21" s="2153"/>
      <c r="M21" s="2147"/>
      <c r="N21" s="2147"/>
      <c r="O21" s="2205"/>
      <c r="P21" s="4876"/>
      <c r="Q21" s="960"/>
      <c r="R21" s="4080"/>
      <c r="S21" s="4083"/>
      <c r="T21" s="4080"/>
      <c r="U21" s="4083"/>
      <c r="V21" s="4080"/>
      <c r="W21" s="4083"/>
      <c r="X21" s="963"/>
      <c r="Y21" s="4876"/>
      <c r="Z21" s="964"/>
      <c r="AA21" s="961">
        <v>1</v>
      </c>
      <c r="AB21" s="961">
        <v>1</v>
      </c>
      <c r="AC21" s="961">
        <v>1</v>
      </c>
    </row>
    <row r="22" spans="1:29" ht="15">
      <c r="A22" s="260"/>
      <c r="B22" s="275" t="s">
        <v>1742</v>
      </c>
      <c r="C22" s="412"/>
      <c r="D22" s="3148">
        <v>100</v>
      </c>
      <c r="E22" s="412"/>
      <c r="F22" s="4060">
        <f>SUMIF(69:69,E22,70:70)-SUMIF(69:69,C22,70:70)+100</f>
        <v>100</v>
      </c>
      <c r="G22" s="412"/>
      <c r="H22" s="4058">
        <f>SUMIF(69:69,G22,70:70)-SUMIF(69:69,C22,70:70)+100</f>
        <v>100</v>
      </c>
      <c r="I22" s="412"/>
      <c r="J22" s="4058">
        <f>SUMIF(69:69,I22,70:70)-SUMIF(69:69,C22,70:70)+100</f>
        <v>100</v>
      </c>
      <c r="K22" s="408"/>
      <c r="L22" s="2153"/>
      <c r="M22" s="2147"/>
      <c r="N22" s="2147"/>
      <c r="O22" s="2205"/>
      <c r="P22" s="4876"/>
      <c r="Q22" s="960" t="str">
        <f>B22</f>
        <v>楼层</v>
      </c>
      <c r="R22" s="4080" t="s">
        <v>13</v>
      </c>
      <c r="S22" s="4083">
        <f>F22</f>
        <v>100</v>
      </c>
      <c r="T22" s="4080" t="s">
        <v>13</v>
      </c>
      <c r="U22" s="4083">
        <f>H22</f>
        <v>100</v>
      </c>
      <c r="V22" s="4080" t="s">
        <v>13</v>
      </c>
      <c r="W22" s="4083">
        <f>J22</f>
        <v>100</v>
      </c>
      <c r="X22" s="963"/>
      <c r="Y22" s="4876"/>
      <c r="Z22" s="964" t="str">
        <f>Q22</f>
        <v>楼层</v>
      </c>
      <c r="AA22" s="961">
        <f t="shared" si="3"/>
        <v>1</v>
      </c>
      <c r="AB22" s="961">
        <f t="shared" si="4"/>
        <v>1</v>
      </c>
      <c r="AC22" s="961">
        <f t="shared" si="5"/>
        <v>1</v>
      </c>
    </row>
    <row r="23" spans="1:29" ht="15">
      <c r="A23" s="244"/>
      <c r="B23" s="1462">
        <v>111</v>
      </c>
      <c r="C23" s="264"/>
      <c r="D23" s="3144">
        <v>100</v>
      </c>
      <c r="E23" s="265"/>
      <c r="F23" s="4060">
        <f>SUMIF(71:71,E23,72:72)-SUMIF(71:71,C23,72:72)+100</f>
        <v>100</v>
      </c>
      <c r="G23" s="265"/>
      <c r="H23" s="4058">
        <f>SUMIF(71:71,G23,72:72)-SUMIF(71:71,C23,72:72)+100</f>
        <v>100</v>
      </c>
      <c r="I23" s="265"/>
      <c r="J23" s="4058">
        <f>SUMIF(71:71,I23,72:72)-SUMIF(71:71,C23,72:72)+100</f>
        <v>100</v>
      </c>
      <c r="K23" s="409"/>
      <c r="L23" s="2153"/>
      <c r="M23" s="2147"/>
      <c r="N23" s="2147"/>
      <c r="O23" s="2205"/>
      <c r="P23" s="4876"/>
      <c r="Q23" s="960">
        <f>B23</f>
        <v>111</v>
      </c>
      <c r="R23" s="4080" t="s">
        <v>13</v>
      </c>
      <c r="S23" s="4083">
        <f>F23</f>
        <v>100</v>
      </c>
      <c r="T23" s="4080" t="s">
        <v>13</v>
      </c>
      <c r="U23" s="4083">
        <f>H23</f>
        <v>100</v>
      </c>
      <c r="V23" s="4080" t="s">
        <v>13</v>
      </c>
      <c r="W23" s="4083">
        <f>J23</f>
        <v>100</v>
      </c>
      <c r="X23" s="963"/>
      <c r="Y23" s="4876"/>
      <c r="Z23" s="964">
        <f>Q23</f>
        <v>111</v>
      </c>
      <c r="AA23" s="961">
        <f t="shared" si="3"/>
        <v>1</v>
      </c>
      <c r="AB23" s="961">
        <f t="shared" si="4"/>
        <v>1</v>
      </c>
      <c r="AC23" s="961">
        <f t="shared" si="5"/>
        <v>1</v>
      </c>
    </row>
    <row r="24" spans="1:29" ht="15">
      <c r="A24" s="260"/>
      <c r="B24" s="1462">
        <v>111</v>
      </c>
      <c r="C24" s="264"/>
      <c r="D24" s="3144">
        <v>100</v>
      </c>
      <c r="E24" s="265"/>
      <c r="F24" s="4060">
        <f>SUMIF(73:73,E24,74:74)-SUMIF(73:73,C24,74:74)+100</f>
        <v>100</v>
      </c>
      <c r="G24" s="265"/>
      <c r="H24" s="4058">
        <f>SUMIF(73:73,G24,74:74)-SUMIF(73:73,C24,74:74)+100</f>
        <v>100</v>
      </c>
      <c r="I24" s="265"/>
      <c r="J24" s="4058">
        <f>SUMIF(73:73,I24,74:74)-SUMIF(73:73,C24,74:74)+100</f>
        <v>100</v>
      </c>
      <c r="K24" s="409"/>
      <c r="L24" s="2153"/>
      <c r="M24" s="2147"/>
      <c r="N24" s="2147"/>
      <c r="O24" s="2205"/>
      <c r="P24" s="4876"/>
      <c r="Q24" s="960">
        <f t="shared" ref="Q24:Q34" si="11">B24</f>
        <v>111</v>
      </c>
      <c r="R24" s="4080" t="s">
        <v>13</v>
      </c>
      <c r="S24" s="4083">
        <f>F24</f>
        <v>100</v>
      </c>
      <c r="T24" s="4080" t="s">
        <v>13</v>
      </c>
      <c r="U24" s="4083">
        <f>H24</f>
        <v>100</v>
      </c>
      <c r="V24" s="4080" t="s">
        <v>13</v>
      </c>
      <c r="W24" s="4083">
        <f>J24</f>
        <v>100</v>
      </c>
      <c r="X24" s="963"/>
      <c r="Y24" s="4876"/>
      <c r="Z24" s="964">
        <f>Q24</f>
        <v>111</v>
      </c>
      <c r="AA24" s="961">
        <f t="shared" si="3"/>
        <v>1</v>
      </c>
      <c r="AB24" s="961">
        <f t="shared" si="4"/>
        <v>1</v>
      </c>
      <c r="AC24" s="961">
        <f t="shared" si="5"/>
        <v>1</v>
      </c>
    </row>
    <row r="25" spans="1:29" s="49" customFormat="1" ht="15.6" thickBot="1">
      <c r="A25" s="263"/>
      <c r="B25" s="1462">
        <v>111</v>
      </c>
      <c r="C25" s="1535"/>
      <c r="D25" s="3153">
        <v>100</v>
      </c>
      <c r="E25" s="1535"/>
      <c r="F25" s="4086">
        <f>SUMIF(75:75,E25,76:76)-SUMIF(75:75,C25,76:76)+100</f>
        <v>100</v>
      </c>
      <c r="G25" s="1535"/>
      <c r="H25" s="4088">
        <f>SUMIF(75:75,G25,76:76)-SUMIF(75:75,C25,76:76)+100</f>
        <v>100</v>
      </c>
      <c r="I25" s="1535"/>
      <c r="J25" s="4088">
        <f>SUMIF(75:75,I25,76:76)-SUMIF(75:75,C25,76:76)+100</f>
        <v>100</v>
      </c>
      <c r="K25" s="409"/>
      <c r="L25" s="2148"/>
      <c r="M25" s="2149"/>
      <c r="N25" s="2149"/>
      <c r="O25" s="2203"/>
      <c r="P25" s="4876"/>
      <c r="Q25" s="952">
        <f t="shared" si="11"/>
        <v>111</v>
      </c>
      <c r="R25" s="4079" t="s">
        <v>13</v>
      </c>
      <c r="S25" s="4082">
        <f>F25</f>
        <v>100</v>
      </c>
      <c r="T25" s="4079" t="s">
        <v>13</v>
      </c>
      <c r="U25" s="4082">
        <f>H25</f>
        <v>100</v>
      </c>
      <c r="V25" s="4079" t="s">
        <v>13</v>
      </c>
      <c r="W25" s="4082">
        <f>J25</f>
        <v>100</v>
      </c>
      <c r="X25" s="504"/>
      <c r="Y25" s="4876"/>
      <c r="Z25" s="28">
        <f>Q25</f>
        <v>111</v>
      </c>
      <c r="AA25" s="961">
        <f>D25/F25</f>
        <v>1</v>
      </c>
      <c r="AB25" s="961">
        <f>D25/H25</f>
        <v>1</v>
      </c>
      <c r="AC25" s="961">
        <f>D25/J25</f>
        <v>1</v>
      </c>
    </row>
    <row r="26" spans="1:29" ht="30">
      <c r="A26" s="282" t="s">
        <v>1601</v>
      </c>
      <c r="B26" s="34" t="s">
        <v>1745</v>
      </c>
      <c r="C26" s="1526"/>
      <c r="D26" s="3151">
        <v>100</v>
      </c>
      <c r="E26" s="1526"/>
      <c r="F26" s="4087">
        <f>SUMIF(77:77,E26,78:78)-SUMIF(77:77,C26,78:78)+100</f>
        <v>100</v>
      </c>
      <c r="G26" s="1526"/>
      <c r="H26" s="4064">
        <f>SUMIF(77:77,G26,78:78)-SUMIF(77:77,C26,78:78)+100</f>
        <v>100</v>
      </c>
      <c r="I26" s="1526"/>
      <c r="J26" s="4064">
        <f>SUMIF(77:77,I26,78:78)-SUMIF(77:77,C26,78:78)+100</f>
        <v>100</v>
      </c>
      <c r="K26" s="408"/>
      <c r="L26" s="2153"/>
      <c r="M26" s="2147"/>
      <c r="N26" s="2147"/>
      <c r="O26" s="2205"/>
      <c r="P26" s="4877"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878"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0" t="e">
        <f>LOOKUP(E27,80:80,81:81)-LOOKUP(C27,80:80,81:81)+100</f>
        <v>#N/A</v>
      </c>
      <c r="G27" s="290"/>
      <c r="H27" s="4058" t="e">
        <f>LOOKUP(G27,80:80,81:81)-LOOKUP(C27,80:80,81:81)+100</f>
        <v>#N/A</v>
      </c>
      <c r="I27" s="290"/>
      <c r="J27" s="4058" t="e">
        <f>LOOKUP(I27,80:80,81:81)-LOOKUP(C27,80:80,81:81)+100</f>
        <v>#N/A</v>
      </c>
      <c r="K27" s="408"/>
      <c r="L27" s="2152"/>
      <c r="M27" s="2154"/>
      <c r="N27" s="2154"/>
      <c r="O27" s="2206"/>
      <c r="P27" s="4878"/>
      <c r="Q27" s="506" t="str">
        <f t="shared" si="11"/>
        <v>成新率</v>
      </c>
      <c r="R27" s="4081" t="s">
        <v>13</v>
      </c>
      <c r="S27" s="4084" t="e">
        <f t="shared" si="12"/>
        <v>#N/A</v>
      </c>
      <c r="T27" s="4081" t="s">
        <v>13</v>
      </c>
      <c r="U27" s="4084" t="e">
        <f t="shared" si="13"/>
        <v>#N/A</v>
      </c>
      <c r="V27" s="4081" t="s">
        <v>13</v>
      </c>
      <c r="W27" s="4084" t="e">
        <f t="shared" si="14"/>
        <v>#N/A</v>
      </c>
      <c r="X27" s="507"/>
      <c r="Y27" s="4878"/>
      <c r="Z27" s="508" t="str">
        <f t="shared" si="15"/>
        <v>成新率</v>
      </c>
      <c r="AA27" s="961" t="e">
        <f t="shared" si="3"/>
        <v>#N/A</v>
      </c>
      <c r="AB27" s="961" t="e">
        <f t="shared" si="4"/>
        <v>#N/A</v>
      </c>
      <c r="AC27" s="961" t="e">
        <f t="shared" si="5"/>
        <v>#N/A</v>
      </c>
    </row>
    <row r="28" spans="1:29" ht="15">
      <c r="A28" s="286"/>
      <c r="B28" s="258" t="s">
        <v>1747</v>
      </c>
      <c r="C28" s="281"/>
      <c r="D28" s="3144">
        <v>100</v>
      </c>
      <c r="E28" s="281"/>
      <c r="F28" s="4060">
        <f>SUMIF(82:82,E28,83:83)-SUMIF(82:82,C28,83:83)+100</f>
        <v>100</v>
      </c>
      <c r="G28" s="281"/>
      <c r="H28" s="4058">
        <f>SUMIF(82:82,G28,83:83)-SUMIF(82:82,C28,83:83)+100</f>
        <v>100</v>
      </c>
      <c r="I28" s="281"/>
      <c r="J28" s="4058">
        <f>SUMIF(82:82,I28,83:83)-SUMIF(82:82,C28,83:83)+100</f>
        <v>100</v>
      </c>
      <c r="K28" s="408"/>
      <c r="L28" s="2153"/>
      <c r="M28" s="2147"/>
      <c r="N28" s="2147"/>
      <c r="O28" s="2205"/>
      <c r="P28" s="4878"/>
      <c r="Q28" s="960" t="str">
        <f t="shared" si="11"/>
        <v>物业等级</v>
      </c>
      <c r="R28" s="4080" t="s">
        <v>13</v>
      </c>
      <c r="S28" s="4083">
        <f t="shared" si="12"/>
        <v>100</v>
      </c>
      <c r="T28" s="4080" t="s">
        <v>13</v>
      </c>
      <c r="U28" s="4083">
        <f t="shared" si="13"/>
        <v>100</v>
      </c>
      <c r="V28" s="4080" t="s">
        <v>13</v>
      </c>
      <c r="W28" s="4083">
        <f t="shared" si="14"/>
        <v>100</v>
      </c>
      <c r="X28" s="963"/>
      <c r="Y28" s="4878"/>
      <c r="Z28" s="964" t="str">
        <f t="shared" si="15"/>
        <v>物业等级</v>
      </c>
      <c r="AA28" s="961">
        <f t="shared" si="3"/>
        <v>1</v>
      </c>
      <c r="AB28" s="961">
        <f t="shared" si="4"/>
        <v>1</v>
      </c>
      <c r="AC28" s="961">
        <f t="shared" si="5"/>
        <v>1</v>
      </c>
    </row>
    <row r="29" spans="1:29" ht="15">
      <c r="A29" s="286"/>
      <c r="B29" s="258" t="s">
        <v>1767</v>
      </c>
      <c r="C29" s="441"/>
      <c r="D29" s="3144">
        <v>100</v>
      </c>
      <c r="E29" s="441"/>
      <c r="F29" s="4060">
        <f>SUMIF(84:84,E29,85:85)-SUMIF(84:84,C29,85:85)+100</f>
        <v>100</v>
      </c>
      <c r="G29" s="441"/>
      <c r="H29" s="4058">
        <f>SUMIF(84:84,G29,85:85)-SUMIF(84:84,C29,85:85)+100</f>
        <v>100</v>
      </c>
      <c r="I29" s="441"/>
      <c r="J29" s="4058">
        <f>SUMIF(84:84,I29,85:85)-SUMIF(84:84,C29,85:85)+100</f>
        <v>100</v>
      </c>
      <c r="K29" s="408"/>
      <c r="L29" s="2153"/>
      <c r="M29" s="2147"/>
      <c r="N29" s="2147"/>
      <c r="O29" s="2205"/>
      <c r="P29" s="4878"/>
      <c r="Q29" s="960" t="str">
        <f t="shared" si="11"/>
        <v>有无电梯</v>
      </c>
      <c r="R29" s="4080" t="s">
        <v>13</v>
      </c>
      <c r="S29" s="4083">
        <f t="shared" si="12"/>
        <v>100</v>
      </c>
      <c r="T29" s="4080" t="s">
        <v>13</v>
      </c>
      <c r="U29" s="4083">
        <f t="shared" si="13"/>
        <v>100</v>
      </c>
      <c r="V29" s="4080" t="s">
        <v>13</v>
      </c>
      <c r="W29" s="4083">
        <f t="shared" si="14"/>
        <v>100</v>
      </c>
      <c r="X29" s="963"/>
      <c r="Y29" s="4878"/>
      <c r="Z29" s="964" t="str">
        <f t="shared" si="15"/>
        <v>有无电梯</v>
      </c>
      <c r="AA29" s="961">
        <f t="shared" si="3"/>
        <v>1</v>
      </c>
      <c r="AB29" s="961">
        <f t="shared" si="4"/>
        <v>1</v>
      </c>
      <c r="AC29" s="961">
        <f t="shared" si="5"/>
        <v>1</v>
      </c>
    </row>
    <row r="30" spans="1:29" ht="15">
      <c r="A30" s="286"/>
      <c r="B30" s="258" t="s">
        <v>1768</v>
      </c>
      <c r="C30" s="284"/>
      <c r="D30" s="3144">
        <v>100</v>
      </c>
      <c r="E30" s="284"/>
      <c r="F30" s="4060" t="e">
        <f>LOOKUP(E30,87:87,88:88)-LOOKUP(C30,87:87,88:88)+100</f>
        <v>#N/A</v>
      </c>
      <c r="G30" s="284"/>
      <c r="H30" s="4058" t="e">
        <f>LOOKUP(G30,87:87,88:88)-LOOKUP(C30,87:87,88:88)+100</f>
        <v>#N/A</v>
      </c>
      <c r="I30" s="284"/>
      <c r="J30" s="4058" t="e">
        <f>LOOKUP(I30,87:87,88:88)-LOOKUP(C30,87:87,88:88)+100</f>
        <v>#N/A</v>
      </c>
      <c r="K30" s="409"/>
      <c r="L30" s="2153"/>
      <c r="M30" s="2147"/>
      <c r="N30" s="2147"/>
      <c r="O30" s="2205"/>
      <c r="P30" s="4878"/>
      <c r="Q30" s="960" t="str">
        <f t="shared" si="11"/>
        <v>建筑面积</v>
      </c>
      <c r="R30" s="4080" t="s">
        <v>13</v>
      </c>
      <c r="S30" s="4083" t="e">
        <f t="shared" si="12"/>
        <v>#N/A</v>
      </c>
      <c r="T30" s="4080" t="s">
        <v>13</v>
      </c>
      <c r="U30" s="4083" t="e">
        <f t="shared" si="13"/>
        <v>#N/A</v>
      </c>
      <c r="V30" s="4080" t="s">
        <v>13</v>
      </c>
      <c r="W30" s="4083" t="e">
        <f t="shared" si="14"/>
        <v>#N/A</v>
      </c>
      <c r="X30" s="963"/>
      <c r="Y30" s="4878"/>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0">
        <f>SUMIF(89:89,E31,90:90)-SUMIF(89:89,C31,90:90)+100</f>
        <v>100</v>
      </c>
      <c r="G31" s="441"/>
      <c r="H31" s="4058">
        <f>SUMIF(89:89,G31,90:90)-SUMIF(89:89,C31,90:90)+100</f>
        <v>100</v>
      </c>
      <c r="I31" s="441"/>
      <c r="J31" s="4058">
        <f>SUMIF(89:89,I31,90:90)-SUMIF(89:89,C31,90:90)+100</f>
        <v>100</v>
      </c>
      <c r="K31" s="408"/>
      <c r="L31" s="2148"/>
      <c r="M31" s="2149"/>
      <c r="N31" s="2149"/>
      <c r="O31" s="2203"/>
      <c r="P31" s="4878"/>
      <c r="Q31" s="952" t="str">
        <f t="shared" si="11"/>
        <v>是否封闭</v>
      </c>
      <c r="R31" s="4079" t="s">
        <v>13</v>
      </c>
      <c r="S31" s="4082">
        <f t="shared" si="12"/>
        <v>100</v>
      </c>
      <c r="T31" s="4079" t="s">
        <v>13</v>
      </c>
      <c r="U31" s="4082">
        <f t="shared" si="13"/>
        <v>100</v>
      </c>
      <c r="V31" s="4079" t="s">
        <v>13</v>
      </c>
      <c r="W31" s="4082">
        <f t="shared" si="14"/>
        <v>100</v>
      </c>
      <c r="X31" s="504"/>
      <c r="Y31" s="4878"/>
      <c r="Z31" s="28" t="str">
        <f t="shared" si="15"/>
        <v>是否封闭</v>
      </c>
      <c r="AA31" s="505">
        <f t="shared" si="3"/>
        <v>1</v>
      </c>
      <c r="AB31" s="505">
        <f t="shared" si="4"/>
        <v>1</v>
      </c>
      <c r="AC31" s="505">
        <f t="shared" si="5"/>
        <v>1</v>
      </c>
    </row>
    <row r="32" spans="1:29" ht="15">
      <c r="A32" s="286"/>
      <c r="B32" s="1462">
        <v>111</v>
      </c>
      <c r="C32" s="264"/>
      <c r="D32" s="3144">
        <v>100</v>
      </c>
      <c r="E32" s="284"/>
      <c r="F32" s="4060">
        <f>SUMIF(91:91,E32,92:92)-SUMIF(91:91,C32,92:92)+100</f>
        <v>100</v>
      </c>
      <c r="G32" s="284"/>
      <c r="H32" s="4058">
        <f>SUMIF(91:91,G32,92:92)-SUMIF(91:91,C32,92:92)+100</f>
        <v>100</v>
      </c>
      <c r="I32" s="284"/>
      <c r="J32" s="4058">
        <f>SUMIF(91:91,I32,92:92)-SUMIF(91:91,C32,92:92)+100</f>
        <v>100</v>
      </c>
      <c r="K32" s="409"/>
      <c r="L32" s="2153"/>
      <c r="M32" s="2147"/>
      <c r="N32" s="2147"/>
      <c r="O32" s="2205"/>
      <c r="P32" s="4878" t="s">
        <v>1603</v>
      </c>
      <c r="Q32" s="960">
        <f t="shared" si="11"/>
        <v>111</v>
      </c>
      <c r="R32" s="4080" t="s">
        <v>13</v>
      </c>
      <c r="S32" s="4083">
        <f t="shared" si="12"/>
        <v>100</v>
      </c>
      <c r="T32" s="4080" t="s">
        <v>13</v>
      </c>
      <c r="U32" s="4083">
        <f t="shared" si="13"/>
        <v>100</v>
      </c>
      <c r="V32" s="4080" t="s">
        <v>13</v>
      </c>
      <c r="W32" s="4083">
        <f t="shared" si="14"/>
        <v>100</v>
      </c>
      <c r="X32" s="963"/>
      <c r="Y32" s="4878" t="s">
        <v>1603</v>
      </c>
      <c r="Z32" s="964">
        <f t="shared" si="15"/>
        <v>111</v>
      </c>
      <c r="AA32" s="961">
        <f t="shared" si="3"/>
        <v>1</v>
      </c>
      <c r="AB32" s="961">
        <f t="shared" si="4"/>
        <v>1</v>
      </c>
      <c r="AC32" s="961">
        <f t="shared" si="5"/>
        <v>1</v>
      </c>
    </row>
    <row r="33" spans="1:30" ht="15">
      <c r="A33" s="286"/>
      <c r="B33" s="1462">
        <v>111</v>
      </c>
      <c r="C33" s="264"/>
      <c r="D33" s="3144">
        <v>100</v>
      </c>
      <c r="E33" s="284"/>
      <c r="F33" s="4060">
        <f>SUMIF(93:93,E33,94:94)-SUMIF(93:93,C33,94:94)+100</f>
        <v>100</v>
      </c>
      <c r="G33" s="284"/>
      <c r="H33" s="4058">
        <f>SUMIF(93:93,G33,94:94)-SUMIF(93:93,C33,94:94)+100</f>
        <v>100</v>
      </c>
      <c r="I33" s="284"/>
      <c r="J33" s="4058">
        <f>SUMIF(93:93,I33,94:94)-SUMIF(93:93,C33,94:94)+100</f>
        <v>100</v>
      </c>
      <c r="K33" s="409"/>
      <c r="L33" s="2153"/>
      <c r="M33" s="2147"/>
      <c r="N33" s="2147"/>
      <c r="O33" s="2205"/>
      <c r="P33" s="4878"/>
      <c r="Q33" s="960">
        <f t="shared" si="11"/>
        <v>111</v>
      </c>
      <c r="R33" s="4080" t="s">
        <v>13</v>
      </c>
      <c r="S33" s="4083">
        <f t="shared" si="12"/>
        <v>100</v>
      </c>
      <c r="T33" s="4080" t="s">
        <v>13</v>
      </c>
      <c r="U33" s="4083">
        <f t="shared" si="13"/>
        <v>100</v>
      </c>
      <c r="V33" s="4080" t="s">
        <v>13</v>
      </c>
      <c r="W33" s="4083">
        <f t="shared" si="14"/>
        <v>100</v>
      </c>
      <c r="X33" s="963"/>
      <c r="Y33" s="4878"/>
      <c r="Z33" s="964">
        <f t="shared" si="15"/>
        <v>111</v>
      </c>
      <c r="AA33" s="961">
        <f t="shared" si="3"/>
        <v>1</v>
      </c>
      <c r="AB33" s="961">
        <f t="shared" si="4"/>
        <v>1</v>
      </c>
      <c r="AC33" s="961">
        <f t="shared" si="5"/>
        <v>1</v>
      </c>
    </row>
    <row r="34" spans="1:30" ht="15.6" thickBot="1">
      <c r="A34" s="291"/>
      <c r="B34" s="1463">
        <v>111</v>
      </c>
      <c r="C34" s="267"/>
      <c r="D34" s="3145">
        <v>100</v>
      </c>
      <c r="E34" s="1534"/>
      <c r="F34" s="4062">
        <f>SUMIF(95:95,E34,96:96)-SUMIF(95:95,C34,96:96)+100</f>
        <v>100</v>
      </c>
      <c r="G34" s="1534"/>
      <c r="H34" s="4055">
        <f>SUMIF(95:95,G34,96:96)-SUMIF(95:95,C34,96:96)+100</f>
        <v>100</v>
      </c>
      <c r="I34" s="1534"/>
      <c r="J34" s="4055">
        <f>SUMIF(95:95,I34,96:96)-SUMIF(95:95,C34,96:96)+100</f>
        <v>100</v>
      </c>
      <c r="K34" s="409"/>
      <c r="L34" s="2153"/>
      <c r="M34" s="2147"/>
      <c r="N34" s="2147"/>
      <c r="O34" s="2205"/>
      <c r="P34" s="4878"/>
      <c r="Q34" s="960">
        <f t="shared" si="11"/>
        <v>111</v>
      </c>
      <c r="R34" s="4080" t="s">
        <v>13</v>
      </c>
      <c r="S34" s="4083">
        <f t="shared" si="12"/>
        <v>100</v>
      </c>
      <c r="T34" s="4080" t="s">
        <v>13</v>
      </c>
      <c r="U34" s="4083">
        <f t="shared" si="13"/>
        <v>100</v>
      </c>
      <c r="V34" s="4080" t="s">
        <v>13</v>
      </c>
      <c r="W34" s="4083">
        <f t="shared" si="14"/>
        <v>100</v>
      </c>
      <c r="X34" s="963"/>
      <c r="Y34" s="4878"/>
      <c r="Z34" s="964">
        <f t="shared" si="15"/>
        <v>111</v>
      </c>
      <c r="AA34" s="961">
        <f t="shared" si="3"/>
        <v>1</v>
      </c>
      <c r="AB34" s="961">
        <f t="shared" si="4"/>
        <v>1</v>
      </c>
      <c r="AC34" s="961">
        <f t="shared" si="5"/>
        <v>1</v>
      </c>
    </row>
    <row r="35" spans="1:30" ht="14.4">
      <c r="A35" s="292" t="s">
        <v>1615</v>
      </c>
      <c r="B35" s="293"/>
      <c r="C35" s="808" t="s">
        <v>0</v>
      </c>
      <c r="D35" s="809"/>
      <c r="E35" s="3457"/>
      <c r="F35" s="3459"/>
      <c r="G35" s="3458"/>
      <c r="H35" s="3460"/>
      <c r="I35" s="3457"/>
      <c r="J35" s="3460"/>
      <c r="K35" s="3104"/>
      <c r="L35" s="2155"/>
      <c r="M35" s="2156"/>
      <c r="N35" s="2147"/>
      <c r="O35" s="2156"/>
      <c r="P35" s="4870" t="str">
        <f>A35</f>
        <v>成交单价（元/平方米）</v>
      </c>
      <c r="Q35" s="4870"/>
      <c r="R35" s="4871">
        <f>E35</f>
        <v>0</v>
      </c>
      <c r="S35" s="4871"/>
      <c r="T35" s="4871">
        <f>G35</f>
        <v>0</v>
      </c>
      <c r="U35" s="4871"/>
      <c r="V35" s="4871">
        <f>I35</f>
        <v>0</v>
      </c>
      <c r="W35" s="4871"/>
      <c r="X35" s="493"/>
      <c r="Y35" s="509"/>
      <c r="Z35" s="493"/>
      <c r="AA35" s="493"/>
      <c r="AB35" s="493"/>
      <c r="AC35" s="493"/>
    </row>
    <row r="36" spans="1:30" ht="15" thickBot="1">
      <c r="A36" s="295" t="s">
        <v>1700</v>
      </c>
      <c r="B36" s="296"/>
      <c r="C36" s="4037" t="e">
        <f>R37</f>
        <v>#DIV/0!</v>
      </c>
      <c r="D36" s="4194" t="s">
        <v>2040</v>
      </c>
      <c r="E36" s="4048" t="e">
        <f>R36</f>
        <v>#DIV/0!</v>
      </c>
      <c r="F36" s="3042"/>
      <c r="G36" s="4037" t="e">
        <f>T36</f>
        <v>#DIV/0!</v>
      </c>
      <c r="H36" s="3042"/>
      <c r="I36" s="4048" t="e">
        <f>V36</f>
        <v>#DIV/0!</v>
      </c>
      <c r="J36" s="3042"/>
      <c r="K36" s="3097">
        <f>F36+H36+J36</f>
        <v>0</v>
      </c>
      <c r="L36" s="2155"/>
      <c r="M36" s="2156"/>
      <c r="N36" s="2147"/>
      <c r="O36" s="2156"/>
      <c r="P36" s="4870" t="str">
        <f>A36</f>
        <v>比较价值（元/平方米）</v>
      </c>
      <c r="Q36" s="4870"/>
      <c r="R36" s="4871" t="e">
        <f>IF(F1="售价",ROUND(PRODUCT(R35,AA7:AA34),0),ROUND(PRODUCT(R35,AA7:AA34),1))</f>
        <v>#DIV/0!</v>
      </c>
      <c r="S36" s="4871"/>
      <c r="T36" s="4871" t="e">
        <f>IF(F1="售价",ROUND(PRODUCT(T35,AB7:AB34),0),ROUND(PRODUCT(T35,AB7:AB34),1))</f>
        <v>#DIV/0!</v>
      </c>
      <c r="U36" s="4871"/>
      <c r="V36" s="4871" t="e">
        <f>IF(F1="售价",ROUND(PRODUCT(V35,AC7:AC34),0),ROUND(PRODUCT(V35,AC7:AC34),1))</f>
        <v>#DIV/0!</v>
      </c>
      <c r="W36" s="4871"/>
      <c r="X36" s="493"/>
      <c r="Y36" s="493"/>
      <c r="Z36" s="493"/>
      <c r="AA36" s="493"/>
      <c r="AB36" s="493"/>
      <c r="AC36" s="493"/>
    </row>
    <row r="37" spans="1:30" ht="15" thickBot="1">
      <c r="A37" s="297" t="s">
        <v>1701</v>
      </c>
      <c r="B37" s="298"/>
      <c r="C37" s="4049" t="e">
        <f>R37</f>
        <v>#DIV/0!</v>
      </c>
      <c r="D37" s="812"/>
      <c r="E37" s="812"/>
      <c r="F37" s="812"/>
      <c r="G37" s="812"/>
      <c r="H37" s="812"/>
      <c r="I37" s="812"/>
      <c r="J37" s="812"/>
      <c r="K37" s="511"/>
      <c r="L37" s="2155"/>
      <c r="M37" s="2156"/>
      <c r="N37" s="2156"/>
      <c r="O37" s="2156"/>
      <c r="P37" s="4872" t="str">
        <f>A37</f>
        <v>估价对象XX用房的比较价值（楼面单价，元/平方米）</v>
      </c>
      <c r="Q37" s="4873"/>
      <c r="R37" s="4874" t="e">
        <f>IF(F1="售价",ROUND(IF(D36="简单平均",AVERAGE(R36:W36),R36*F36+T36*H36+V36*J36),0),ROUND(IF(D36="简单平均",AVERAGE(R36:V36),R36*F36+T36*H36+V36*J36),1))</f>
        <v>#DIV/0!</v>
      </c>
      <c r="S37" s="4874"/>
      <c r="T37" s="4874"/>
      <c r="U37" s="4874"/>
      <c r="V37" s="4874"/>
      <c r="W37" s="4874"/>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3873</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6"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4.4">
      <c r="A6" s="241" t="s">
        <v>1676</v>
      </c>
      <c r="B6" s="242"/>
      <c r="C6" s="4963" t="s">
        <v>1677</v>
      </c>
      <c r="D6" s="4964"/>
      <c r="E6" s="4965" t="s">
        <v>1678</v>
      </c>
      <c r="F6" s="4966"/>
      <c r="G6" s="4963" t="s">
        <v>1679</v>
      </c>
      <c r="H6" s="4964"/>
      <c r="I6" s="4963" t="s">
        <v>1680</v>
      </c>
      <c r="J6" s="4964"/>
      <c r="K6" s="3105" t="s">
        <v>1681</v>
      </c>
      <c r="L6" s="2146"/>
      <c r="M6" s="2147"/>
      <c r="N6" s="2147"/>
      <c r="O6" s="2147"/>
      <c r="P6" s="4967" t="s">
        <v>1682</v>
      </c>
      <c r="Q6" s="4968"/>
      <c r="R6" s="4973" t="s">
        <v>1678</v>
      </c>
      <c r="S6" s="4974"/>
      <c r="T6" s="4973" t="s">
        <v>1679</v>
      </c>
      <c r="U6" s="4974"/>
      <c r="V6" s="4979" t="s">
        <v>1680</v>
      </c>
      <c r="W6" s="4979"/>
      <c r="X6" s="963"/>
      <c r="Y6" s="4893" t="s">
        <v>1682</v>
      </c>
      <c r="Z6" s="4894"/>
      <c r="AA6" s="4880" t="s">
        <v>1678</v>
      </c>
      <c r="AB6" s="4881" t="s">
        <v>1679</v>
      </c>
      <c r="AC6" s="4880" t="s">
        <v>1680</v>
      </c>
    </row>
    <row r="7" spans="1:30">
      <c r="A7" s="244"/>
      <c r="B7" s="245"/>
      <c r="C7" s="4982" t="s">
        <v>1580</v>
      </c>
      <c r="D7" s="4983"/>
      <c r="E7" s="4989" t="s">
        <v>1581</v>
      </c>
      <c r="F7" s="4990"/>
      <c r="G7" s="4982" t="s">
        <v>1582</v>
      </c>
      <c r="H7" s="4983"/>
      <c r="I7" s="4982" t="s">
        <v>1583</v>
      </c>
      <c r="J7" s="4983"/>
      <c r="K7" s="3105"/>
      <c r="L7" s="2146"/>
      <c r="M7" s="2147"/>
      <c r="N7" s="2147"/>
      <c r="O7" s="2147"/>
      <c r="P7" s="4969"/>
      <c r="Q7" s="4970"/>
      <c r="R7" s="4975"/>
      <c r="S7" s="4976"/>
      <c r="T7" s="4975"/>
      <c r="U7" s="4976"/>
      <c r="V7" s="4979"/>
      <c r="W7" s="4979"/>
      <c r="X7" s="963"/>
      <c r="Y7" s="4895"/>
      <c r="Z7" s="4896"/>
      <c r="AA7" s="4881"/>
      <c r="AB7" s="4881"/>
      <c r="AC7" s="4881"/>
    </row>
    <row r="8" spans="1:30" ht="15" thickBot="1">
      <c r="A8" s="246"/>
      <c r="B8" s="247"/>
      <c r="C8" s="4980" t="s">
        <v>1584</v>
      </c>
      <c r="D8" s="4981"/>
      <c r="E8" s="4987" t="s">
        <v>1584</v>
      </c>
      <c r="F8" s="4988"/>
      <c r="G8" s="4980" t="s">
        <v>1584</v>
      </c>
      <c r="H8" s="4981"/>
      <c r="I8" s="4980" t="s">
        <v>1584</v>
      </c>
      <c r="J8" s="4981"/>
      <c r="K8" s="3105" t="s">
        <v>1585</v>
      </c>
      <c r="L8" s="2146"/>
      <c r="M8" s="2147"/>
      <c r="N8" s="2147"/>
      <c r="O8" s="2147"/>
      <c r="P8" s="4971"/>
      <c r="Q8" s="4972"/>
      <c r="R8" s="4975"/>
      <c r="S8" s="4976"/>
      <c r="T8" s="4977"/>
      <c r="U8" s="4978"/>
      <c r="V8" s="4979"/>
      <c r="W8" s="4979"/>
      <c r="X8" s="963"/>
      <c r="Y8" s="4897"/>
      <c r="Z8" s="4898"/>
      <c r="AA8" s="4882"/>
      <c r="AB8" s="4882"/>
      <c r="AC8" s="4882"/>
    </row>
    <row r="9" spans="1:30" s="49" customFormat="1" ht="15" thickBot="1">
      <c r="A9" s="3337" t="s">
        <v>1586</v>
      </c>
      <c r="B9" s="3338"/>
      <c r="C9" s="3052">
        <f>'数据-取费表'!B2</f>
        <v>46093</v>
      </c>
      <c r="D9" s="3128">
        <v>100</v>
      </c>
      <c r="E9" s="3082"/>
      <c r="F9" s="4021">
        <f>SUMIF(71:71,YEAR(E9)&amp;"-"&amp;INT((MONTH(E9)+2)/3),72:72)</f>
        <v>0</v>
      </c>
      <c r="G9" s="3368"/>
      <c r="H9" s="4033">
        <f>SUMIF(71:71,YEAR(G9)&amp;"-"&amp;INT((MONTH(G9)+2)/3),72:72)</f>
        <v>0</v>
      </c>
      <c r="I9" s="3368"/>
      <c r="J9" s="4033">
        <f>SUMIF(71:71,YEAR(I9)&amp;"-"&amp;INT((MONTH(I9)+2)/3),72:72)</f>
        <v>0</v>
      </c>
      <c r="K9" s="3372"/>
      <c r="L9" s="2148"/>
      <c r="M9" s="2149"/>
      <c r="N9" s="2149"/>
      <c r="O9" s="2149"/>
      <c r="P9" s="4984" t="s">
        <v>1587</v>
      </c>
      <c r="Q9" s="4986"/>
      <c r="R9" s="4071" t="s">
        <v>13</v>
      </c>
      <c r="S9" s="4074">
        <f t="shared" ref="S9:S17" si="0">F9</f>
        <v>0</v>
      </c>
      <c r="T9" s="4071" t="s">
        <v>13</v>
      </c>
      <c r="U9" s="4074">
        <f t="shared" ref="U9:U17" si="1">H9</f>
        <v>0</v>
      </c>
      <c r="V9" s="4071" t="s">
        <v>13</v>
      </c>
      <c r="W9" s="4074">
        <f t="shared" ref="W9:W17" si="2">J9</f>
        <v>0</v>
      </c>
      <c r="X9" s="504"/>
      <c r="Y9" s="4903" t="s">
        <v>1587</v>
      </c>
      <c r="Z9" s="4904"/>
      <c r="AA9" s="505" t="e">
        <f>D9/F9</f>
        <v>#DIV/0!</v>
      </c>
      <c r="AB9" s="505" t="e">
        <f>D9/H9</f>
        <v>#DIV/0!</v>
      </c>
      <c r="AC9" s="505" t="e">
        <f>D9/J9</f>
        <v>#DIV/0!</v>
      </c>
    </row>
    <row r="10" spans="1:30" s="49" customFormat="1" ht="15" thickBot="1">
      <c r="A10" s="3337" t="s">
        <v>1588</v>
      </c>
      <c r="B10" s="3338"/>
      <c r="C10" s="3053"/>
      <c r="D10" s="3128">
        <v>100</v>
      </c>
      <c r="E10" s="3053"/>
      <c r="F10" s="4021">
        <f>SUMIF(74:74,E10,75:75)-SUMIF(74:74,C10,75:75)+100</f>
        <v>100</v>
      </c>
      <c r="G10" s="3053"/>
      <c r="H10" s="4033">
        <f>SUMIF(74:74,G10,75:75)-SUMIF(74:74,C10,75:75)+100</f>
        <v>100</v>
      </c>
      <c r="I10" s="3053"/>
      <c r="J10" s="4033">
        <f>SUMIF(74:74,I10,75:75)-SUMIF(74:74,C10,75:75)+100</f>
        <v>100</v>
      </c>
      <c r="K10" s="3372"/>
      <c r="L10" s="2148"/>
      <c r="M10" s="2149"/>
      <c r="N10" s="2149"/>
      <c r="O10" s="2149"/>
      <c r="P10" s="4984" t="s">
        <v>1590</v>
      </c>
      <c r="Q10" s="4985"/>
      <c r="R10" s="4071" t="s">
        <v>13</v>
      </c>
      <c r="S10" s="4074">
        <f t="shared" si="0"/>
        <v>100</v>
      </c>
      <c r="T10" s="4071" t="s">
        <v>13</v>
      </c>
      <c r="U10" s="4074">
        <f t="shared" si="1"/>
        <v>100</v>
      </c>
      <c r="V10" s="4071" t="s">
        <v>13</v>
      </c>
      <c r="W10" s="4074">
        <f t="shared" si="2"/>
        <v>100</v>
      </c>
      <c r="X10" s="504"/>
      <c r="Y10" s="4903" t="s">
        <v>1590</v>
      </c>
      <c r="Z10" s="4904"/>
      <c r="AA10" s="505">
        <f t="shared" ref="AA10:AA47" si="3">D10/F10</f>
        <v>1</v>
      </c>
      <c r="AB10" s="505">
        <f t="shared" ref="AB10:AB47" si="4">D10/H10</f>
        <v>1</v>
      </c>
      <c r="AC10" s="505">
        <f t="shared" ref="AC10:AC47" si="5">D10/J10</f>
        <v>1</v>
      </c>
    </row>
    <row r="11" spans="1:30" s="49" customFormat="1" ht="14.4">
      <c r="A11" s="3272" t="s">
        <v>1591</v>
      </c>
      <c r="B11" s="3033" t="s">
        <v>1592</v>
      </c>
      <c r="C11" s="3339"/>
      <c r="D11" s="3129">
        <v>100</v>
      </c>
      <c r="E11" s="3339"/>
      <c r="F11" s="4034">
        <f>SUMIF(76:76,E11,77:77)-SUMIF(76:76,C11,77:77)+100</f>
        <v>100</v>
      </c>
      <c r="G11" s="3339"/>
      <c r="H11" s="4034">
        <f>SUMIF(76:76,G11,77:77)-SUMIF(76:76,C11,77:77)+100</f>
        <v>100</v>
      </c>
      <c r="I11" s="3339"/>
      <c r="J11" s="4034">
        <f>SUMIF(76:76,I11,77:77)-SUMIF(76:76,C11,77:77)+100</f>
        <v>100</v>
      </c>
      <c r="K11" s="3372"/>
      <c r="L11" s="2148"/>
      <c r="M11" s="2149"/>
      <c r="N11" s="2149"/>
      <c r="O11" s="2203"/>
      <c r="P11" s="4954" t="s">
        <v>1593</v>
      </c>
      <c r="Q11" s="3273" t="str">
        <f t="shared" ref="Q11:Q17" si="6">B11</f>
        <v>用途</v>
      </c>
      <c r="R11" s="4071" t="s">
        <v>13</v>
      </c>
      <c r="S11" s="4074">
        <f t="shared" si="0"/>
        <v>100</v>
      </c>
      <c r="T11" s="4071" t="s">
        <v>13</v>
      </c>
      <c r="U11" s="4074">
        <f t="shared" si="1"/>
        <v>100</v>
      </c>
      <c r="V11" s="4071" t="s">
        <v>13</v>
      </c>
      <c r="W11" s="4074">
        <f t="shared" si="2"/>
        <v>100</v>
      </c>
      <c r="X11" s="504"/>
      <c r="Y11" s="4879" t="s">
        <v>1594</v>
      </c>
      <c r="Z11" s="28" t="str">
        <f t="shared" ref="Z11:Z17" si="7">Q11</f>
        <v>用途</v>
      </c>
      <c r="AA11" s="505">
        <f t="shared" si="3"/>
        <v>1</v>
      </c>
      <c r="AB11" s="505">
        <f t="shared" si="4"/>
        <v>1</v>
      </c>
      <c r="AC11" s="505">
        <f t="shared" si="5"/>
        <v>1</v>
      </c>
    </row>
    <row r="12" spans="1:30" s="259" customFormat="1" ht="28.8">
      <c r="A12" s="3340"/>
      <c r="B12" s="3275" t="s">
        <v>1595</v>
      </c>
      <c r="C12" s="3057"/>
      <c r="D12" s="3130">
        <v>100</v>
      </c>
      <c r="E12" s="3108"/>
      <c r="F12" s="4035">
        <f>ROUND(100/'数据-取费表'!G16,1)</f>
        <v>108.6</v>
      </c>
      <c r="G12" s="3114"/>
      <c r="H12" s="4035">
        <f>ROUND(100/'数据-取费表'!G16,1)</f>
        <v>108.6</v>
      </c>
      <c r="I12" s="3114"/>
      <c r="J12" s="4035">
        <f>ROUND(100/'数据-取费表'!G16,1)</f>
        <v>108.6</v>
      </c>
      <c r="K12" s="3373"/>
      <c r="L12" s="2150"/>
      <c r="M12" s="2151"/>
      <c r="N12" s="2151"/>
      <c r="O12" s="2204"/>
      <c r="P12" s="4954"/>
      <c r="Q12" s="3273" t="str">
        <f t="shared" si="6"/>
        <v>土地使用年限（年）</v>
      </c>
      <c r="R12" s="4071" t="s">
        <v>13</v>
      </c>
      <c r="S12" s="4074">
        <f t="shared" si="0"/>
        <v>108.6</v>
      </c>
      <c r="T12" s="4071" t="s">
        <v>13</v>
      </c>
      <c r="U12" s="4074">
        <f t="shared" si="1"/>
        <v>108.6</v>
      </c>
      <c r="V12" s="4071" t="s">
        <v>13</v>
      </c>
      <c r="W12" s="4074">
        <f t="shared" si="2"/>
        <v>108.6</v>
      </c>
      <c r="X12" s="504"/>
      <c r="Y12" s="4879"/>
      <c r="Z12" s="28" t="str">
        <f t="shared" si="7"/>
        <v>土地使用年限（年）</v>
      </c>
      <c r="AA12" s="505">
        <f t="shared" si="3"/>
        <v>0.92081031307550654</v>
      </c>
      <c r="AB12" s="505">
        <f t="shared" si="4"/>
        <v>0.92081031307550654</v>
      </c>
      <c r="AC12" s="505">
        <f t="shared" si="5"/>
        <v>0.92081031307550654</v>
      </c>
    </row>
    <row r="13" spans="1:30" ht="15">
      <c r="A13" s="3341"/>
      <c r="B13" s="3275" t="s">
        <v>1596</v>
      </c>
      <c r="C13" s="3056"/>
      <c r="D13" s="3130">
        <v>100</v>
      </c>
      <c r="E13" s="3056"/>
      <c r="F13" s="4035">
        <f>LOOKUP(E13,81:81,82:82)-LOOKUP(C13,81:81,82:82)+100</f>
        <v>100</v>
      </c>
      <c r="G13" s="3085"/>
      <c r="H13" s="4035">
        <f>LOOKUP(G13,81:81,82:82)-LOOKUP(C13,81:81,82:82)+100</f>
        <v>100</v>
      </c>
      <c r="I13" s="3056"/>
      <c r="J13" s="4035">
        <f>LOOKUP(I13,81:81,82:82)-LOOKUP(C13,81:81,82:82)+100</f>
        <v>100</v>
      </c>
      <c r="K13" s="3397"/>
      <c r="L13" s="2152"/>
      <c r="M13" s="2147"/>
      <c r="N13" s="2147"/>
      <c r="O13" s="2205"/>
      <c r="P13" s="4954"/>
      <c r="Q13" s="3273" t="str">
        <f t="shared" si="6"/>
        <v>容积率</v>
      </c>
      <c r="R13" s="4071" t="s">
        <v>13</v>
      </c>
      <c r="S13" s="4074">
        <f t="shared" si="0"/>
        <v>100</v>
      </c>
      <c r="T13" s="4071" t="s">
        <v>13</v>
      </c>
      <c r="U13" s="4074">
        <f t="shared" si="1"/>
        <v>100</v>
      </c>
      <c r="V13" s="4071" t="s">
        <v>13</v>
      </c>
      <c r="W13" s="4074">
        <f t="shared" si="2"/>
        <v>100</v>
      </c>
      <c r="X13" s="504"/>
      <c r="Y13" s="4879"/>
      <c r="Z13" s="28" t="str">
        <f t="shared" si="7"/>
        <v>容积率</v>
      </c>
      <c r="AA13" s="505">
        <f t="shared" si="3"/>
        <v>1</v>
      </c>
      <c r="AB13" s="505">
        <f t="shared" si="4"/>
        <v>1</v>
      </c>
      <c r="AC13" s="505">
        <f t="shared" si="5"/>
        <v>1</v>
      </c>
    </row>
    <row r="14" spans="1:30" s="49" customFormat="1" ht="15">
      <c r="A14" s="3342"/>
      <c r="B14" s="3034" t="s">
        <v>1777</v>
      </c>
      <c r="C14" s="3057"/>
      <c r="D14" s="3131">
        <v>100</v>
      </c>
      <c r="E14" s="3108"/>
      <c r="F14" s="4035">
        <f>SUMIF(83:83,E14,84:84)-SUMIF(83:83,C14,84:84)+100</f>
        <v>100</v>
      </c>
      <c r="G14" s="3114"/>
      <c r="H14" s="4035">
        <f>SUMIF(83:83,G14,84:84)-SUMIF(83:83,C14,84:84)+100</f>
        <v>100</v>
      </c>
      <c r="I14" s="3108"/>
      <c r="J14" s="4035">
        <f>SUMIF(83:83,I14,84:84)-SUMIF(83:83,C14,84:84)+100</f>
        <v>100</v>
      </c>
      <c r="K14" s="3398"/>
      <c r="L14" s="2148"/>
      <c r="M14" s="2149"/>
      <c r="N14" s="2149"/>
      <c r="O14" s="2203"/>
      <c r="P14" s="4954"/>
      <c r="Q14" s="3273" t="str">
        <f t="shared" si="6"/>
        <v>配建</v>
      </c>
      <c r="R14" s="4071" t="s">
        <v>13</v>
      </c>
      <c r="S14" s="4074">
        <f t="shared" si="0"/>
        <v>100</v>
      </c>
      <c r="T14" s="4071" t="s">
        <v>13</v>
      </c>
      <c r="U14" s="4074">
        <f t="shared" si="1"/>
        <v>100</v>
      </c>
      <c r="V14" s="4071" t="s">
        <v>13</v>
      </c>
      <c r="W14" s="4074">
        <f t="shared" si="2"/>
        <v>100</v>
      </c>
      <c r="X14" s="504"/>
      <c r="Y14" s="4879"/>
      <c r="Z14" s="28" t="str">
        <f t="shared" si="7"/>
        <v>配建</v>
      </c>
      <c r="AA14" s="505">
        <f>D14/F14</f>
        <v>1</v>
      </c>
      <c r="AB14" s="505">
        <f>D14/H14</f>
        <v>1</v>
      </c>
      <c r="AC14" s="505">
        <f>D14/J14</f>
        <v>1</v>
      </c>
    </row>
    <row r="15" spans="1:30" ht="15">
      <c r="A15" s="3341"/>
      <c r="B15" s="3034">
        <v>111</v>
      </c>
      <c r="C15" s="3058"/>
      <c r="D15" s="3132">
        <v>100</v>
      </c>
      <c r="E15" s="3363"/>
      <c r="F15" s="4035">
        <f>SUMIF(85:85,E15,86:86)-SUMIF(85:85,C15,86:86)+100</f>
        <v>100</v>
      </c>
      <c r="G15" s="3349"/>
      <c r="H15" s="4029">
        <f>SUMIF(85:85,G15,86:86)-SUMIF(85:85,C15,86:86)+100</f>
        <v>100</v>
      </c>
      <c r="I15" s="3349"/>
      <c r="J15" s="4029">
        <f>SUMIF(85:85,I15,86:86)-SUMIF(85:85,C15,86:86)+100</f>
        <v>100</v>
      </c>
      <c r="K15" s="3398"/>
      <c r="L15" s="2153"/>
      <c r="M15" s="2147"/>
      <c r="N15" s="2147"/>
      <c r="O15" s="2205"/>
      <c r="P15" s="4954"/>
      <c r="Q15" s="3273">
        <f t="shared" si="6"/>
        <v>111</v>
      </c>
      <c r="R15" s="4071" t="s">
        <v>13</v>
      </c>
      <c r="S15" s="4074">
        <f t="shared" si="0"/>
        <v>100</v>
      </c>
      <c r="T15" s="4071" t="s">
        <v>13</v>
      </c>
      <c r="U15" s="4074">
        <f t="shared" si="1"/>
        <v>100</v>
      </c>
      <c r="V15" s="4071" t="s">
        <v>13</v>
      </c>
      <c r="W15" s="4074">
        <f t="shared" si="2"/>
        <v>100</v>
      </c>
      <c r="X15" s="504"/>
      <c r="Y15" s="4879"/>
      <c r="Z15" s="28">
        <f t="shared" si="7"/>
        <v>111</v>
      </c>
      <c r="AA15" s="505">
        <f>D15/F15</f>
        <v>1</v>
      </c>
      <c r="AB15" s="505">
        <f>D15/H15</f>
        <v>1</v>
      </c>
      <c r="AC15" s="505">
        <f>D15/J15</f>
        <v>1</v>
      </c>
    </row>
    <row r="16" spans="1:30" ht="15.6" thickBot="1">
      <c r="A16" s="3343"/>
      <c r="B16" s="3035">
        <v>111</v>
      </c>
      <c r="C16" s="3059"/>
      <c r="D16" s="3133">
        <v>100</v>
      </c>
      <c r="E16" s="3363"/>
      <c r="F16" s="4031">
        <f>SUMIF(87:87,E16,88:88)-SUMIF(87:87,C16,88:88)+100</f>
        <v>100</v>
      </c>
      <c r="G16" s="3349"/>
      <c r="H16" s="4031">
        <f>SUMIF(87:87,G16,88:88)-SUMIF(87:87,C16,88:88)+100</f>
        <v>100</v>
      </c>
      <c r="I16" s="3349"/>
      <c r="J16" s="4031">
        <f>SUMIF(87:87,I16,88:88)-SUMIF(87:87,C16,88:88)+100</f>
        <v>100</v>
      </c>
      <c r="K16" s="3398"/>
      <c r="L16" s="2153"/>
      <c r="M16" s="2147"/>
      <c r="N16" s="2147"/>
      <c r="O16" s="2205"/>
      <c r="P16" s="4954"/>
      <c r="Q16" s="3273">
        <f t="shared" si="6"/>
        <v>111</v>
      </c>
      <c r="R16" s="4071" t="s">
        <v>13</v>
      </c>
      <c r="S16" s="4074">
        <f t="shared" si="0"/>
        <v>100</v>
      </c>
      <c r="T16" s="4071" t="s">
        <v>13</v>
      </c>
      <c r="U16" s="4074">
        <f t="shared" si="1"/>
        <v>100</v>
      </c>
      <c r="V16" s="4071" t="s">
        <v>13</v>
      </c>
      <c r="W16" s="4074">
        <f t="shared" si="2"/>
        <v>100</v>
      </c>
      <c r="X16" s="504"/>
      <c r="Y16" s="4879"/>
      <c r="Z16" s="28">
        <f t="shared" si="7"/>
        <v>111</v>
      </c>
      <c r="AA16" s="505">
        <f>D16/F16</f>
        <v>1</v>
      </c>
      <c r="AB16" s="505">
        <f>D16/H16</f>
        <v>1</v>
      </c>
      <c r="AC16" s="505">
        <f>D16/J16</f>
        <v>1</v>
      </c>
    </row>
    <row r="17" spans="1:29" ht="96.6">
      <c r="A17" s="3344" t="s">
        <v>1597</v>
      </c>
      <c r="B17" s="3036" t="s">
        <v>1235</v>
      </c>
      <c r="C17" s="3060" t="str">
        <f>估价对象房地状况!C15</f>
        <v>估价对象周边居住用地比例、居住小区规模和社区发展完善程度，综合评价居住社区成熟度一般</v>
      </c>
      <c r="D17" s="3134">
        <v>100</v>
      </c>
      <c r="E17" s="3086"/>
      <c r="F17" s="4025">
        <f>SUMIF(89:89,E18,90:90)-SUMIF(89:89,C18,90:90)+100</f>
        <v>100</v>
      </c>
      <c r="G17" s="3086"/>
      <c r="H17" s="4025">
        <f>SUMIF(89:89,G18,90:90)-SUMIF(89:89,C18,90:90)+100</f>
        <v>100</v>
      </c>
      <c r="I17" s="3092"/>
      <c r="J17" s="4025">
        <f>SUMIF(89:89,I18,90:90)-SUMIF(89:89,C18,90:90)+100</f>
        <v>100</v>
      </c>
      <c r="K17" s="3397"/>
      <c r="L17" s="2153"/>
      <c r="M17" s="2147"/>
      <c r="N17" s="2147"/>
      <c r="O17" s="2205"/>
      <c r="P17" s="5011" t="s">
        <v>1598</v>
      </c>
      <c r="Q17" s="3276" t="str">
        <f t="shared" si="6"/>
        <v>居住社区成熟度</v>
      </c>
      <c r="R17" s="4072" t="s">
        <v>13</v>
      </c>
      <c r="S17" s="4075">
        <f t="shared" si="0"/>
        <v>100</v>
      </c>
      <c r="T17" s="4072" t="s">
        <v>13</v>
      </c>
      <c r="U17" s="4075">
        <f t="shared" si="1"/>
        <v>100</v>
      </c>
      <c r="V17" s="4072" t="s">
        <v>13</v>
      </c>
      <c r="W17" s="4075">
        <f t="shared" si="2"/>
        <v>100</v>
      </c>
      <c r="X17" s="963"/>
      <c r="Y17" s="4875" t="s">
        <v>1598</v>
      </c>
      <c r="Z17" s="964" t="str">
        <f t="shared" si="7"/>
        <v>居住社区成熟度</v>
      </c>
      <c r="AA17" s="961">
        <f t="shared" si="3"/>
        <v>1</v>
      </c>
      <c r="AB17" s="961">
        <f t="shared" si="4"/>
        <v>1</v>
      </c>
      <c r="AC17" s="961">
        <f t="shared" si="5"/>
        <v>1</v>
      </c>
    </row>
    <row r="18" spans="1:29" ht="15">
      <c r="A18" s="3341"/>
      <c r="B18" s="3037"/>
      <c r="C18" s="3061" t="s">
        <v>3609</v>
      </c>
      <c r="D18" s="3135"/>
      <c r="E18" s="3090" t="s">
        <v>3610</v>
      </c>
      <c r="F18" s="4026"/>
      <c r="G18" s="3090" t="s">
        <v>3609</v>
      </c>
      <c r="H18" s="4027"/>
      <c r="I18" s="3096" t="s">
        <v>3609</v>
      </c>
      <c r="J18" s="4026"/>
      <c r="K18" s="3398"/>
      <c r="L18" s="2153"/>
      <c r="M18" s="2147"/>
      <c r="N18" s="2147"/>
      <c r="O18" s="2205"/>
      <c r="P18" s="5012"/>
      <c r="Q18" s="3276"/>
      <c r="R18" s="4072"/>
      <c r="S18" s="4075"/>
      <c r="T18" s="4072"/>
      <c r="U18" s="4075"/>
      <c r="V18" s="4072"/>
      <c r="W18" s="4075"/>
      <c r="X18" s="963"/>
      <c r="Y18" s="4876"/>
      <c r="Z18" s="964"/>
      <c r="AA18" s="961">
        <v>1</v>
      </c>
      <c r="AB18" s="961">
        <v>1</v>
      </c>
      <c r="AC18" s="961">
        <v>1</v>
      </c>
    </row>
    <row r="19" spans="1:29" ht="69">
      <c r="A19" s="3341"/>
      <c r="B19" s="3038" t="s">
        <v>1684</v>
      </c>
      <c r="C19" s="3077" t="str">
        <f>估价对象房地状况!C16</f>
        <v>估价对象位于XX商圈，周边商业氛围成熟，人流量大，商业繁华度好</v>
      </c>
      <c r="D19" s="3136">
        <v>100</v>
      </c>
      <c r="E19" s="3087"/>
      <c r="F19" s="4027">
        <f>SUMIF(91:91,E20,92:92)-SUMIF(91:91,C20,92:92)+100</f>
        <v>100</v>
      </c>
      <c r="G19" s="3087"/>
      <c r="H19" s="4028">
        <f>SUMIF(91:91,G20,92:92)-SUMIF(91:91,C20,92:92)+100</f>
        <v>100</v>
      </c>
      <c r="I19" s="3093"/>
      <c r="J19" s="4028">
        <f>SUMIF(91:91,I20,92:92)-SUMIF(91:91,C20,92:92)+100</f>
        <v>100</v>
      </c>
      <c r="K19" s="3397"/>
      <c r="L19" s="2153"/>
      <c r="M19" s="2147"/>
      <c r="N19" s="2147"/>
      <c r="O19" s="2205"/>
      <c r="P19" s="5012"/>
      <c r="Q19" s="3276" t="str">
        <f>B19</f>
        <v>商业繁华度</v>
      </c>
      <c r="R19" s="4072" t="s">
        <v>13</v>
      </c>
      <c r="S19" s="4075">
        <f>F19</f>
        <v>100</v>
      </c>
      <c r="T19" s="4072" t="s">
        <v>13</v>
      </c>
      <c r="U19" s="4075">
        <f>H19</f>
        <v>100</v>
      </c>
      <c r="V19" s="4072" t="s">
        <v>13</v>
      </c>
      <c r="W19" s="4075">
        <f>J19</f>
        <v>100</v>
      </c>
      <c r="X19" s="963"/>
      <c r="Y19" s="4876"/>
      <c r="Z19" s="964" t="str">
        <f>Q19</f>
        <v>商业繁华度</v>
      </c>
      <c r="AA19" s="961">
        <f t="shared" si="3"/>
        <v>1</v>
      </c>
      <c r="AB19" s="961">
        <f t="shared" si="4"/>
        <v>1</v>
      </c>
      <c r="AC19" s="961">
        <f t="shared" si="5"/>
        <v>1</v>
      </c>
    </row>
    <row r="20" spans="1:29" ht="15">
      <c r="A20" s="3341"/>
      <c r="B20" s="3039"/>
      <c r="C20" s="3063"/>
      <c r="D20" s="3136"/>
      <c r="E20" s="3088"/>
      <c r="F20" s="4027"/>
      <c r="G20" s="3088"/>
      <c r="H20" s="4026"/>
      <c r="I20" s="3094"/>
      <c r="J20" s="4026"/>
      <c r="K20" s="3398"/>
      <c r="L20" s="2153"/>
      <c r="M20" s="2147"/>
      <c r="N20" s="2147"/>
      <c r="O20" s="2205"/>
      <c r="P20" s="5012"/>
      <c r="Q20" s="3276"/>
      <c r="R20" s="4072"/>
      <c r="S20" s="4075"/>
      <c r="T20" s="4072"/>
      <c r="U20" s="4075"/>
      <c r="V20" s="4072"/>
      <c r="W20" s="4075"/>
      <c r="X20" s="963"/>
      <c r="Y20" s="4876"/>
      <c r="Z20" s="964"/>
      <c r="AA20" s="961">
        <v>1</v>
      </c>
      <c r="AB20" s="961">
        <v>1</v>
      </c>
      <c r="AC20" s="961">
        <v>1</v>
      </c>
    </row>
    <row r="21" spans="1:29" ht="69">
      <c r="A21" s="3341"/>
      <c r="B21" s="3038" t="s">
        <v>1718</v>
      </c>
      <c r="C21" s="3077" t="str">
        <f>估价对象房地状况!C17</f>
        <v>估价对象位于XX商圈，周边办公楼项目较多，入驻率高，办公集聚程度较好</v>
      </c>
      <c r="D21" s="3137">
        <v>100</v>
      </c>
      <c r="E21" s="3089"/>
      <c r="F21" s="4028">
        <f>SUMIF(93:93,E22,94:94)-SUMIF(93:93,C22,94:94)+100</f>
        <v>100</v>
      </c>
      <c r="G21" s="3089"/>
      <c r="H21" s="4027">
        <f>SUMIF(93:93,G22,94:94)-SUMIF(93:93,C22,94:94)+100</f>
        <v>100</v>
      </c>
      <c r="I21" s="3095"/>
      <c r="J21" s="4027">
        <f>SUMIF(93:93,I22,94:94)-SUMIF(93:93,C22,94:94)+100</f>
        <v>100</v>
      </c>
      <c r="K21" s="3397"/>
      <c r="L21" s="2153"/>
      <c r="M21" s="2147"/>
      <c r="N21" s="2147"/>
      <c r="O21" s="2205"/>
      <c r="P21" s="5012"/>
      <c r="Q21" s="3276" t="str">
        <f>B21</f>
        <v>办公集聚程度</v>
      </c>
      <c r="R21" s="4072" t="s">
        <v>13</v>
      </c>
      <c r="S21" s="4075">
        <f>F21</f>
        <v>100</v>
      </c>
      <c r="T21" s="4072" t="s">
        <v>13</v>
      </c>
      <c r="U21" s="4075">
        <f>H21</f>
        <v>100</v>
      </c>
      <c r="V21" s="4072" t="s">
        <v>13</v>
      </c>
      <c r="W21" s="4075">
        <f>J21</f>
        <v>100</v>
      </c>
      <c r="X21" s="963"/>
      <c r="Y21" s="4876"/>
      <c r="Z21" s="964" t="str">
        <f>Q21</f>
        <v>办公集聚程度</v>
      </c>
      <c r="AA21" s="961">
        <f t="shared" si="3"/>
        <v>1</v>
      </c>
      <c r="AB21" s="961">
        <f t="shared" si="4"/>
        <v>1</v>
      </c>
      <c r="AC21" s="961">
        <f t="shared" si="5"/>
        <v>1</v>
      </c>
    </row>
    <row r="22" spans="1:29" ht="15">
      <c r="A22" s="3341"/>
      <c r="B22" s="3039"/>
      <c r="C22" s="3061"/>
      <c r="D22" s="3135"/>
      <c r="E22" s="3090"/>
      <c r="F22" s="4026"/>
      <c r="G22" s="3090"/>
      <c r="H22" s="4026"/>
      <c r="I22" s="3096"/>
      <c r="J22" s="4026"/>
      <c r="K22" s="3398"/>
      <c r="L22" s="2153"/>
      <c r="M22" s="2147"/>
      <c r="N22" s="2147"/>
      <c r="O22" s="2205"/>
      <c r="P22" s="5012"/>
      <c r="Q22" s="3276"/>
      <c r="R22" s="4072"/>
      <c r="S22" s="4075"/>
      <c r="T22" s="4072"/>
      <c r="U22" s="4075"/>
      <c r="V22" s="4072"/>
      <c r="W22" s="4075"/>
      <c r="X22" s="963"/>
      <c r="Y22" s="4876"/>
      <c r="Z22" s="964"/>
      <c r="AA22" s="961">
        <v>1</v>
      </c>
      <c r="AB22" s="961">
        <v>1</v>
      </c>
      <c r="AC22" s="961">
        <v>1</v>
      </c>
    </row>
    <row r="23" spans="1:29" ht="82.8">
      <c r="A23" s="3341"/>
      <c r="B23" s="3038" t="s">
        <v>1740</v>
      </c>
      <c r="C23" s="3062" t="str">
        <f>估价对象房地状况!C18</f>
        <v>估价对象周边道路状况、公共交通通达情况、停车便捷程度，综合评价交通便捷度较好</v>
      </c>
      <c r="D23" s="3136">
        <v>100</v>
      </c>
      <c r="E23" s="3087"/>
      <c r="F23" s="4028">
        <f>SUMIF(95:95,E24,96:96)-SUMIF(95:95,C24,96:96)+100</f>
        <v>100</v>
      </c>
      <c r="G23" s="3087"/>
      <c r="H23" s="4027">
        <f>SUMIF(95:95,G24,96:96)-SUMIF(95:95,C24,96:96)+100</f>
        <v>100</v>
      </c>
      <c r="I23" s="3093"/>
      <c r="J23" s="4027">
        <f>SUMIF(95:95,I24,96:96)-SUMIF(95:95,C24,96:96)+100</f>
        <v>100</v>
      </c>
      <c r="K23" s="3397"/>
      <c r="L23" s="2153"/>
      <c r="M23" s="2147"/>
      <c r="N23" s="2147"/>
      <c r="O23" s="2205"/>
      <c r="P23" s="5012"/>
      <c r="Q23" s="3276" t="str">
        <f>B23</f>
        <v>交通便捷度</v>
      </c>
      <c r="R23" s="4072" t="s">
        <v>13</v>
      </c>
      <c r="S23" s="4075">
        <f>F23</f>
        <v>100</v>
      </c>
      <c r="T23" s="4072" t="s">
        <v>13</v>
      </c>
      <c r="U23" s="4075">
        <f>H23</f>
        <v>100</v>
      </c>
      <c r="V23" s="4072" t="s">
        <v>13</v>
      </c>
      <c r="W23" s="4075">
        <f>J23</f>
        <v>100</v>
      </c>
      <c r="X23" s="963"/>
      <c r="Y23" s="4876"/>
      <c r="Z23" s="964" t="str">
        <f>Q23</f>
        <v>交通便捷度</v>
      </c>
      <c r="AA23" s="961">
        <f t="shared" si="3"/>
        <v>1</v>
      </c>
      <c r="AB23" s="961">
        <f t="shared" si="4"/>
        <v>1</v>
      </c>
      <c r="AC23" s="961">
        <f t="shared" si="5"/>
        <v>1</v>
      </c>
    </row>
    <row r="24" spans="1:29" ht="15">
      <c r="A24" s="3341"/>
      <c r="B24" s="3040"/>
      <c r="C24" s="3061" t="s">
        <v>3609</v>
      </c>
      <c r="D24" s="3136"/>
      <c r="E24" s="3090" t="s">
        <v>3610</v>
      </c>
      <c r="F24" s="4026"/>
      <c r="G24" s="3090" t="s">
        <v>3609</v>
      </c>
      <c r="H24" s="4026"/>
      <c r="I24" s="3096" t="s">
        <v>3609</v>
      </c>
      <c r="J24" s="4026"/>
      <c r="K24" s="3398"/>
      <c r="L24" s="2153"/>
      <c r="M24" s="2147"/>
      <c r="N24" s="2147"/>
      <c r="O24" s="2205"/>
      <c r="P24" s="5012"/>
      <c r="Q24" s="3276"/>
      <c r="R24" s="4072"/>
      <c r="S24" s="4075"/>
      <c r="T24" s="4072"/>
      <c r="U24" s="4075"/>
      <c r="V24" s="4072"/>
      <c r="W24" s="4075"/>
      <c r="X24" s="963"/>
      <c r="Y24" s="4876"/>
      <c r="Z24" s="964"/>
      <c r="AA24" s="961">
        <v>1</v>
      </c>
      <c r="AB24" s="961">
        <v>1</v>
      </c>
      <c r="AC24" s="961">
        <v>1</v>
      </c>
    </row>
    <row r="25" spans="1:29" ht="28.8">
      <c r="A25" s="3345"/>
      <c r="B25" s="3038" t="s">
        <v>1778</v>
      </c>
      <c r="C25" s="3346">
        <f>估价对象房地状况!C19</f>
        <v>0</v>
      </c>
      <c r="D25" s="3137">
        <v>100</v>
      </c>
      <c r="E25" s="3087"/>
      <c r="F25" s="4028">
        <f>SUMIF(97:97,E26,98:98)-SUMIF(97:97,C26,98:98)+100</f>
        <v>100</v>
      </c>
      <c r="G25" s="3093"/>
      <c r="H25" s="4028">
        <f>SUMIF(97:97,G26,98:98)-SUMIF(97:97,C26,98:98)+100</f>
        <v>100</v>
      </c>
      <c r="I25" s="3093"/>
      <c r="J25" s="4028">
        <f>SUMIF(97:97,I26,98:98)-SUMIF(97:97,C26,98:98)+100</f>
        <v>100</v>
      </c>
      <c r="K25" s="3397"/>
      <c r="L25" s="2153"/>
      <c r="M25" s="2147"/>
      <c r="N25" s="2147"/>
      <c r="O25" s="2205"/>
      <c r="P25" s="5012"/>
      <c r="Q25" s="3276" t="str">
        <f t="shared" ref="Q25:Q39" si="8">B25</f>
        <v>区域土地利用方向</v>
      </c>
      <c r="R25" s="4072" t="s">
        <v>13</v>
      </c>
      <c r="S25" s="4075">
        <f>F25</f>
        <v>100</v>
      </c>
      <c r="T25" s="4072" t="s">
        <v>13</v>
      </c>
      <c r="U25" s="4075">
        <f>H25</f>
        <v>100</v>
      </c>
      <c r="V25" s="4072" t="s">
        <v>13</v>
      </c>
      <c r="W25" s="4075">
        <f>J25</f>
        <v>100</v>
      </c>
      <c r="X25" s="963"/>
      <c r="Y25" s="4876"/>
      <c r="Z25" s="964" t="str">
        <f>Q25</f>
        <v>区域土地利用方向</v>
      </c>
      <c r="AA25" s="961">
        <f t="shared" si="3"/>
        <v>1</v>
      </c>
      <c r="AB25" s="961">
        <f t="shared" si="4"/>
        <v>1</v>
      </c>
      <c r="AC25" s="961">
        <f t="shared" si="5"/>
        <v>1</v>
      </c>
    </row>
    <row r="26" spans="1:29" ht="15">
      <c r="A26" s="3345"/>
      <c r="B26" s="3039"/>
      <c r="C26" s="3078"/>
      <c r="D26" s="3135"/>
      <c r="E26" s="3090"/>
      <c r="F26" s="4026"/>
      <c r="G26" s="3096"/>
      <c r="H26" s="4026"/>
      <c r="I26" s="3096"/>
      <c r="J26" s="4026"/>
      <c r="K26" s="3399"/>
      <c r="L26" s="2153"/>
      <c r="M26" s="2147"/>
      <c r="N26" s="2147"/>
      <c r="O26" s="2205"/>
      <c r="P26" s="5012"/>
      <c r="Q26" s="3276"/>
      <c r="R26" s="4072"/>
      <c r="S26" s="4075"/>
      <c r="T26" s="4072"/>
      <c r="U26" s="4075"/>
      <c r="V26" s="4072"/>
      <c r="W26" s="4075"/>
      <c r="X26" s="963"/>
      <c r="Y26" s="4876"/>
      <c r="Z26" s="964"/>
      <c r="AA26" s="961"/>
      <c r="AB26" s="961"/>
      <c r="AC26" s="961"/>
    </row>
    <row r="27" spans="1:29" ht="55.2">
      <c r="A27" s="3345"/>
      <c r="B27" s="3040" t="s">
        <v>1779</v>
      </c>
      <c r="C27" s="3077" t="str">
        <f>估价对象房地状况!C20</f>
        <v>区域自然环境：；人文环境；综合评价环境状况一般</v>
      </c>
      <c r="D27" s="3136">
        <v>100</v>
      </c>
      <c r="E27" s="3087"/>
      <c r="F27" s="4027">
        <f>SUMIF(99:99,E28,100:100)-SUMIF(99:99,C28,100:100)+100</f>
        <v>100</v>
      </c>
      <c r="G27" s="3087"/>
      <c r="H27" s="4027">
        <f>SUMIF(99:99,G28,100:100)-SUMIF(99:99,C28,100:100)+100</f>
        <v>100</v>
      </c>
      <c r="I27" s="3093"/>
      <c r="J27" s="4027">
        <f>SUMIF(99:99,I28,100:100)-SUMIF(99:99,C28,100:100)+100</f>
        <v>100</v>
      </c>
      <c r="K27" s="3397"/>
      <c r="L27" s="2153"/>
      <c r="M27" s="2147"/>
      <c r="N27" s="2147"/>
      <c r="O27" s="2205"/>
      <c r="P27" s="5012"/>
      <c r="Q27" s="3276" t="str">
        <f t="shared" si="8"/>
        <v>自然及人文环境状况</v>
      </c>
      <c r="R27" s="4072" t="s">
        <v>13</v>
      </c>
      <c r="S27" s="4075">
        <f>F27</f>
        <v>100</v>
      </c>
      <c r="T27" s="4072" t="s">
        <v>13</v>
      </c>
      <c r="U27" s="4075">
        <f>H27</f>
        <v>100</v>
      </c>
      <c r="V27" s="4072" t="s">
        <v>13</v>
      </c>
      <c r="W27" s="4075">
        <f>J27</f>
        <v>100</v>
      </c>
      <c r="X27" s="963"/>
      <c r="Y27" s="4876"/>
      <c r="Z27" s="964" t="str">
        <f>Q27</f>
        <v>自然及人文环境状况</v>
      </c>
      <c r="AA27" s="961">
        <f t="shared" si="3"/>
        <v>1</v>
      </c>
      <c r="AB27" s="961">
        <f t="shared" si="4"/>
        <v>1</v>
      </c>
      <c r="AC27" s="961">
        <f t="shared" si="5"/>
        <v>1</v>
      </c>
    </row>
    <row r="28" spans="1:29" ht="15">
      <c r="A28" s="3345"/>
      <c r="B28" s="3039"/>
      <c r="C28" s="3061"/>
      <c r="D28" s="3135"/>
      <c r="E28" s="3113"/>
      <c r="F28" s="4026"/>
      <c r="G28" s="3113"/>
      <c r="H28" s="4026"/>
      <c r="I28" s="3061"/>
      <c r="J28" s="4026"/>
      <c r="K28" s="3398"/>
      <c r="L28" s="2153"/>
      <c r="M28" s="2147"/>
      <c r="N28" s="2147"/>
      <c r="O28" s="2205"/>
      <c r="P28" s="5012"/>
      <c r="Q28" s="3276"/>
      <c r="R28" s="4072"/>
      <c r="S28" s="4075"/>
      <c r="T28" s="4072"/>
      <c r="U28" s="4075"/>
      <c r="V28" s="4072"/>
      <c r="W28" s="4075"/>
      <c r="X28" s="963"/>
      <c r="Y28" s="4876"/>
      <c r="Z28" s="964"/>
      <c r="AA28" s="961">
        <v>1</v>
      </c>
      <c r="AB28" s="961">
        <v>1</v>
      </c>
      <c r="AC28" s="961">
        <v>1</v>
      </c>
    </row>
    <row r="29" spans="1:29" s="49" customFormat="1" ht="41.4">
      <c r="A29" s="3347"/>
      <c r="B29" s="3040" t="s">
        <v>1685</v>
      </c>
      <c r="C29" s="3062" t="str">
        <f>估价对象房地状况!C21</f>
        <v>估价对象所在区域公共配套设施齐备情况</v>
      </c>
      <c r="D29" s="3136">
        <v>100</v>
      </c>
      <c r="E29" s="3087"/>
      <c r="F29" s="4027">
        <f>SUMIF(101:101,E30,102:102)-SUMIF(101:101,C30,102:102)+100</f>
        <v>100</v>
      </c>
      <c r="G29" s="3087"/>
      <c r="H29" s="4027">
        <f>SUMIF(101:101,G30,102:102)-SUMIF(101:101,C30,102:102)+100</f>
        <v>100</v>
      </c>
      <c r="I29" s="3093"/>
      <c r="J29" s="4027">
        <f>SUMIF(101:101,I30,102:102)-SUMIF(101:101,C30,102:102)+100</f>
        <v>100</v>
      </c>
      <c r="K29" s="3397"/>
      <c r="L29" s="2148"/>
      <c r="M29" s="2149"/>
      <c r="N29" s="2149"/>
      <c r="O29" s="2203"/>
      <c r="P29" s="5012"/>
      <c r="Q29" s="3273" t="str">
        <f t="shared" si="8"/>
        <v>公共配套设施</v>
      </c>
      <c r="R29" s="4071" t="s">
        <v>13</v>
      </c>
      <c r="S29" s="4074">
        <f>F29</f>
        <v>100</v>
      </c>
      <c r="T29" s="4071" t="s">
        <v>13</v>
      </c>
      <c r="U29" s="4074">
        <f>H29</f>
        <v>100</v>
      </c>
      <c r="V29" s="4071" t="s">
        <v>13</v>
      </c>
      <c r="W29" s="4074">
        <f>J29</f>
        <v>100</v>
      </c>
      <c r="X29" s="504"/>
      <c r="Y29" s="4876"/>
      <c r="Z29" s="28" t="str">
        <f>Q29</f>
        <v>公共配套设施</v>
      </c>
      <c r="AA29" s="961">
        <f>D29/F29</f>
        <v>1</v>
      </c>
      <c r="AB29" s="961">
        <f>D29/H29</f>
        <v>1</v>
      </c>
      <c r="AC29" s="961">
        <f>D29/J29</f>
        <v>1</v>
      </c>
    </row>
    <row r="30" spans="1:29" s="49" customFormat="1" ht="15">
      <c r="A30" s="3347"/>
      <c r="B30" s="3039"/>
      <c r="C30" s="3348" t="s">
        <v>3609</v>
      </c>
      <c r="D30" s="3135"/>
      <c r="E30" s="3113" t="s">
        <v>3610</v>
      </c>
      <c r="F30" s="4026"/>
      <c r="G30" s="3113" t="s">
        <v>3609</v>
      </c>
      <c r="H30" s="4026"/>
      <c r="I30" s="3061" t="s">
        <v>3609</v>
      </c>
      <c r="J30" s="4026"/>
      <c r="K30" s="3398"/>
      <c r="L30" s="2148"/>
      <c r="M30" s="2149"/>
      <c r="N30" s="2149"/>
      <c r="O30" s="2203"/>
      <c r="P30" s="5012"/>
      <c r="Q30" s="3273"/>
      <c r="R30" s="4071"/>
      <c r="S30" s="4074"/>
      <c r="T30" s="4071"/>
      <c r="U30" s="4074"/>
      <c r="V30" s="4071"/>
      <c r="W30" s="4074"/>
      <c r="X30" s="504"/>
      <c r="Y30" s="4876"/>
      <c r="Z30" s="28"/>
      <c r="AA30" s="961">
        <v>1</v>
      </c>
      <c r="AB30" s="961">
        <v>1</v>
      </c>
      <c r="AC30" s="961">
        <v>1</v>
      </c>
    </row>
    <row r="31" spans="1:29" s="49" customFormat="1" ht="27.6">
      <c r="A31" s="3347"/>
      <c r="B31" s="3040" t="s">
        <v>1686</v>
      </c>
      <c r="C31" s="3062" t="str">
        <f>估价对象房地状况!C22</f>
        <v>估价对象所在区域基础设施水平</v>
      </c>
      <c r="D31" s="3136">
        <v>100</v>
      </c>
      <c r="E31" s="3087"/>
      <c r="F31" s="4027">
        <f>SUMIF(103:103,E32,104:104)-SUMIF(103:103,C32,104:104)+100</f>
        <v>100</v>
      </c>
      <c r="G31" s="3087"/>
      <c r="H31" s="4027">
        <f>SUMIF(103:103,G32,104:104)-SUMIF(103:103,C32,104:104)+100</f>
        <v>100</v>
      </c>
      <c r="I31" s="3093"/>
      <c r="J31" s="4027">
        <f>SUMIF(103:103,I32,104:104)-SUMIF(103:103,C32,104:104)+100</f>
        <v>100</v>
      </c>
      <c r="K31" s="3397"/>
      <c r="L31" s="2148"/>
      <c r="M31" s="2149"/>
      <c r="N31" s="2149"/>
      <c r="O31" s="2203"/>
      <c r="P31" s="5012"/>
      <c r="Q31" s="3273" t="str">
        <f t="shared" ref="Q31" si="9">B31</f>
        <v>基础设施水平</v>
      </c>
      <c r="R31" s="4071" t="s">
        <v>13</v>
      </c>
      <c r="S31" s="4074">
        <f>F31</f>
        <v>100</v>
      </c>
      <c r="T31" s="4071" t="s">
        <v>13</v>
      </c>
      <c r="U31" s="4074">
        <f>H31</f>
        <v>100</v>
      </c>
      <c r="V31" s="4071" t="s">
        <v>13</v>
      </c>
      <c r="W31" s="4074">
        <f>J31</f>
        <v>100</v>
      </c>
      <c r="X31" s="504"/>
      <c r="Y31" s="4876"/>
      <c r="Z31" s="28" t="str">
        <f>Q31</f>
        <v>基础设施水平</v>
      </c>
      <c r="AA31" s="961">
        <f>D31/F31</f>
        <v>1</v>
      </c>
      <c r="AB31" s="961">
        <f>D31/H31</f>
        <v>1</v>
      </c>
      <c r="AC31" s="961">
        <f>D31/J31</f>
        <v>1</v>
      </c>
    </row>
    <row r="32" spans="1:29" s="49" customFormat="1" ht="15">
      <c r="A32" s="3347"/>
      <c r="B32" s="3039"/>
      <c r="C32" s="3348"/>
      <c r="D32" s="3135"/>
      <c r="E32" s="3364"/>
      <c r="F32" s="4026"/>
      <c r="G32" s="3364"/>
      <c r="H32" s="4026"/>
      <c r="I32" s="3364"/>
      <c r="J32" s="4026"/>
      <c r="K32" s="3398"/>
      <c r="L32" s="2148"/>
      <c r="M32" s="2149"/>
      <c r="N32" s="2149"/>
      <c r="O32" s="2203"/>
      <c r="P32" s="5012"/>
      <c r="Q32" s="3273"/>
      <c r="R32" s="4071"/>
      <c r="S32" s="4074"/>
      <c r="T32" s="4071"/>
      <c r="U32" s="4074"/>
      <c r="V32" s="4071"/>
      <c r="W32" s="4074"/>
      <c r="X32" s="504"/>
      <c r="Y32" s="4876"/>
      <c r="Z32" s="28"/>
      <c r="AA32" s="961">
        <v>1</v>
      </c>
      <c r="AB32" s="961">
        <v>1</v>
      </c>
      <c r="AC32" s="961">
        <v>1</v>
      </c>
    </row>
    <row r="33" spans="1:29" ht="15">
      <c r="A33" s="3341"/>
      <c r="B33" s="3039" t="s">
        <v>1687</v>
      </c>
      <c r="C33" s="3078"/>
      <c r="D33" s="3132">
        <v>100</v>
      </c>
      <c r="E33" s="3365"/>
      <c r="F33" s="4029">
        <f>SUMIF(105:105,E33,106:106)-SUMIF(105:105,C33,106:106)+100</f>
        <v>100</v>
      </c>
      <c r="G33" s="3365"/>
      <c r="H33" s="4029">
        <f>SUMIF(105:105,G33,106:106)-SUMIF(105:105,C33,106:106)+100</f>
        <v>100</v>
      </c>
      <c r="I33" s="3365"/>
      <c r="J33" s="4029">
        <f>SUMIF(105:105,I33,106:106)-SUMIF(105:105,C33,106:106)+100</f>
        <v>100</v>
      </c>
      <c r="K33" s="3397"/>
      <c r="L33" s="2153"/>
      <c r="M33" s="2147"/>
      <c r="N33" s="2147"/>
      <c r="O33" s="2205"/>
      <c r="P33" s="5012"/>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876"/>
      <c r="Z33" s="964" t="str">
        <f t="shared" ref="Z33:Z47" si="13">Q33</f>
        <v>临街状况</v>
      </c>
      <c r="AA33" s="961">
        <f t="shared" si="3"/>
        <v>1</v>
      </c>
      <c r="AB33" s="961">
        <f t="shared" si="4"/>
        <v>1</v>
      </c>
      <c r="AC33" s="961">
        <f t="shared" si="5"/>
        <v>1</v>
      </c>
    </row>
    <row r="34" spans="1:29" ht="28.8">
      <c r="A34" s="3341"/>
      <c r="B34" s="3040" t="s">
        <v>1722</v>
      </c>
      <c r="C34" s="3093"/>
      <c r="D34" s="3136">
        <v>100</v>
      </c>
      <c r="E34" s="3087"/>
      <c r="F34" s="4027">
        <f>SUMIF(107:107,E35,108:108)-SUMIF(107:107,C35,108:108)+100</f>
        <v>100</v>
      </c>
      <c r="G34" s="3087"/>
      <c r="H34" s="4027">
        <f>SUMIF(107:107,G35,108:108)-SUMIF(107:107,C35,108:108)+100</f>
        <v>100</v>
      </c>
      <c r="I34" s="3093"/>
      <c r="J34" s="4027">
        <f>SUMIF(107:107,I35,108:108)-SUMIF(107:107,C35,108:108)+100</f>
        <v>100</v>
      </c>
      <c r="K34" s="3397"/>
      <c r="L34" s="2153"/>
      <c r="M34" s="2147"/>
      <c r="N34" s="2147"/>
      <c r="O34" s="2205"/>
      <c r="P34" s="5012"/>
      <c r="Q34" s="3276" t="str">
        <f t="shared" si="8"/>
        <v>毗邻道路的类型与等级</v>
      </c>
      <c r="R34" s="4072" t="s">
        <v>13</v>
      </c>
      <c r="S34" s="4075">
        <f t="shared" si="10"/>
        <v>100</v>
      </c>
      <c r="T34" s="4072" t="s">
        <v>13</v>
      </c>
      <c r="U34" s="4075">
        <f t="shared" si="11"/>
        <v>100</v>
      </c>
      <c r="V34" s="4072" t="s">
        <v>13</v>
      </c>
      <c r="W34" s="4075">
        <f t="shared" si="12"/>
        <v>100</v>
      </c>
      <c r="X34" s="963"/>
      <c r="Y34" s="4876"/>
      <c r="Z34" s="964" t="str">
        <f t="shared" si="13"/>
        <v>毗邻道路的类型与等级</v>
      </c>
      <c r="AA34" s="961">
        <f t="shared" si="3"/>
        <v>1</v>
      </c>
      <c r="AB34" s="961">
        <f t="shared" si="4"/>
        <v>1</v>
      </c>
      <c r="AC34" s="961">
        <f t="shared" si="5"/>
        <v>1</v>
      </c>
    </row>
    <row r="35" spans="1:29" ht="15">
      <c r="A35" s="3341"/>
      <c r="B35" s="3039"/>
      <c r="C35" s="3061"/>
      <c r="D35" s="3135"/>
      <c r="E35" s="3113"/>
      <c r="F35" s="4026"/>
      <c r="G35" s="3113"/>
      <c r="H35" s="4026"/>
      <c r="I35" s="3061"/>
      <c r="J35" s="4026"/>
      <c r="K35" s="3100"/>
      <c r="L35" s="2153"/>
      <c r="M35" s="2147"/>
      <c r="N35" s="2147"/>
      <c r="O35" s="2205"/>
      <c r="P35" s="5012"/>
      <c r="Q35" s="3276"/>
      <c r="R35" s="4072"/>
      <c r="S35" s="4075"/>
      <c r="T35" s="4072"/>
      <c r="U35" s="4075"/>
      <c r="V35" s="4072"/>
      <c r="W35" s="4075"/>
      <c r="X35" s="963"/>
      <c r="Y35" s="4876"/>
      <c r="Z35" s="964"/>
      <c r="AA35" s="961">
        <v>1</v>
      </c>
      <c r="AB35" s="961">
        <v>1</v>
      </c>
      <c r="AC35" s="961">
        <v>1</v>
      </c>
    </row>
    <row r="36" spans="1:29" ht="15">
      <c r="A36" s="3341"/>
      <c r="B36" s="3275" t="s">
        <v>1780</v>
      </c>
      <c r="C36" s="3078"/>
      <c r="D36" s="3132">
        <v>100</v>
      </c>
      <c r="E36" s="3365"/>
      <c r="F36" s="4029">
        <f>SUMIF(109:109,E36,110:110)-SUMIF(109:109,C36,110:110)+100</f>
        <v>100</v>
      </c>
      <c r="G36" s="3365"/>
      <c r="H36" s="4029">
        <f>SUMIF(109:109,G36,110:110)-SUMIF(109:109,C36,110:110)+100</f>
        <v>100</v>
      </c>
      <c r="I36" s="3078"/>
      <c r="J36" s="4029">
        <f>SUMIF(109:109,I36,110:110)-SUMIF(109:109,C36,110:110)+100</f>
        <v>100</v>
      </c>
      <c r="K36" s="3099"/>
      <c r="L36" s="2153"/>
      <c r="M36" s="2147"/>
      <c r="N36" s="2147"/>
      <c r="O36" s="2205"/>
      <c r="P36" s="5012"/>
      <c r="Q36" s="3276" t="str">
        <f t="shared" si="8"/>
        <v>土地级别</v>
      </c>
      <c r="R36" s="4072" t="s">
        <v>13</v>
      </c>
      <c r="S36" s="4075">
        <f t="shared" si="10"/>
        <v>100</v>
      </c>
      <c r="T36" s="4072" t="s">
        <v>13</v>
      </c>
      <c r="U36" s="4075">
        <f t="shared" si="11"/>
        <v>100</v>
      </c>
      <c r="V36" s="4072" t="s">
        <v>13</v>
      </c>
      <c r="W36" s="4075">
        <f t="shared" si="12"/>
        <v>100</v>
      </c>
      <c r="X36" s="963"/>
      <c r="Y36" s="4876"/>
      <c r="Z36" s="964" t="str">
        <f t="shared" si="13"/>
        <v>土地级别</v>
      </c>
      <c r="AA36" s="961">
        <f t="shared" si="3"/>
        <v>1</v>
      </c>
      <c r="AB36" s="961">
        <f t="shared" si="4"/>
        <v>1</v>
      </c>
      <c r="AC36" s="961">
        <f t="shared" si="5"/>
        <v>1</v>
      </c>
    </row>
    <row r="37" spans="1:29" ht="15">
      <c r="A37" s="3345"/>
      <c r="B37" s="3041">
        <v>111</v>
      </c>
      <c r="C37" s="3349"/>
      <c r="D37" s="3132">
        <v>100</v>
      </c>
      <c r="E37" s="3366"/>
      <c r="F37" s="4029">
        <f>SUMIF(111:111,E37,112:112)-SUMIF(111:111,C37,112:112)+100</f>
        <v>100</v>
      </c>
      <c r="G37" s="3366"/>
      <c r="H37" s="4029">
        <f>SUMIF(111:111,G37,112:112)-SUMIF(111:111,C37,112:112)+100</f>
        <v>100</v>
      </c>
      <c r="I37" s="3349"/>
      <c r="J37" s="4029">
        <f>SUMIF(111:111,I37,112:112)-SUMIF(111:111,C37,112:112)+100</f>
        <v>100</v>
      </c>
      <c r="K37" s="3100"/>
      <c r="L37" s="2153"/>
      <c r="M37" s="2147"/>
      <c r="N37" s="2147"/>
      <c r="O37" s="2205"/>
      <c r="P37" s="5012"/>
      <c r="Q37" s="3276">
        <f t="shared" si="8"/>
        <v>111</v>
      </c>
      <c r="R37" s="4072" t="s">
        <v>13</v>
      </c>
      <c r="S37" s="4075">
        <f t="shared" si="10"/>
        <v>100</v>
      </c>
      <c r="T37" s="4072" t="s">
        <v>13</v>
      </c>
      <c r="U37" s="4075">
        <f t="shared" si="11"/>
        <v>100</v>
      </c>
      <c r="V37" s="4072" t="s">
        <v>13</v>
      </c>
      <c r="W37" s="4075">
        <f t="shared" si="12"/>
        <v>100</v>
      </c>
      <c r="X37" s="963"/>
      <c r="Y37" s="4876"/>
      <c r="Z37" s="964">
        <f t="shared" si="13"/>
        <v>111</v>
      </c>
      <c r="AA37" s="961">
        <f t="shared" si="3"/>
        <v>1</v>
      </c>
      <c r="AB37" s="961">
        <f t="shared" si="4"/>
        <v>1</v>
      </c>
      <c r="AC37" s="961">
        <f t="shared" si="5"/>
        <v>1</v>
      </c>
    </row>
    <row r="38" spans="1:29" ht="15">
      <c r="A38" s="3350"/>
      <c r="B38" s="3351">
        <v>111</v>
      </c>
      <c r="C38" s="3349"/>
      <c r="D38" s="3132">
        <v>100</v>
      </c>
      <c r="E38" s="3366"/>
      <c r="F38" s="4029">
        <f>SUMIF(113:113,E39,114:114)-SUMIF(113:113,C39,114:114)+100</f>
        <v>100</v>
      </c>
      <c r="G38" s="3366"/>
      <c r="H38" s="4029">
        <f>SUMIF(113:113,G38,114:114)-SUMIF(113:113,C38,114:114)+100</f>
        <v>100</v>
      </c>
      <c r="I38" s="3349"/>
      <c r="J38" s="4029">
        <f>SUMIF(113:113,I38,114:114)-SUMIF(113:113,C38,114:114)+100</f>
        <v>100</v>
      </c>
      <c r="K38" s="3100"/>
      <c r="L38" s="2153"/>
      <c r="M38" s="2147"/>
      <c r="N38" s="2147"/>
      <c r="O38" s="2205"/>
      <c r="P38" s="5013" t="s">
        <v>1603</v>
      </c>
      <c r="Q38" s="3276">
        <f t="shared" si="8"/>
        <v>111</v>
      </c>
      <c r="R38" s="4072" t="s">
        <v>13</v>
      </c>
      <c r="S38" s="4075">
        <f t="shared" si="10"/>
        <v>100</v>
      </c>
      <c r="T38" s="4072" t="s">
        <v>13</v>
      </c>
      <c r="U38" s="4075">
        <f t="shared" si="11"/>
        <v>100</v>
      </c>
      <c r="V38" s="4072" t="s">
        <v>13</v>
      </c>
      <c r="W38" s="4075">
        <f t="shared" si="12"/>
        <v>100</v>
      </c>
      <c r="X38" s="963"/>
      <c r="Y38" s="4878" t="s">
        <v>1603</v>
      </c>
      <c r="Z38" s="964">
        <f t="shared" si="13"/>
        <v>111</v>
      </c>
      <c r="AA38" s="961">
        <f t="shared" si="3"/>
        <v>1</v>
      </c>
      <c r="AB38" s="961">
        <f t="shared" si="4"/>
        <v>1</v>
      </c>
      <c r="AC38" s="961">
        <f t="shared" si="5"/>
        <v>1</v>
      </c>
    </row>
    <row r="39" spans="1:29" s="285" customFormat="1" ht="15.6"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100"/>
      <c r="L39" s="2152"/>
      <c r="M39" s="2154"/>
      <c r="N39" s="2154"/>
      <c r="O39" s="2206"/>
      <c r="P39" s="5014"/>
      <c r="Q39" s="3276">
        <f t="shared" si="8"/>
        <v>111</v>
      </c>
      <c r="R39" s="4073" t="s">
        <v>13</v>
      </c>
      <c r="S39" s="4076">
        <f t="shared" si="10"/>
        <v>100</v>
      </c>
      <c r="T39" s="4073" t="s">
        <v>13</v>
      </c>
      <c r="U39" s="4076">
        <f t="shared" si="11"/>
        <v>100</v>
      </c>
      <c r="V39" s="4073" t="s">
        <v>13</v>
      </c>
      <c r="W39" s="4076">
        <f t="shared" si="12"/>
        <v>100</v>
      </c>
      <c r="X39" s="507"/>
      <c r="Y39" s="4878"/>
      <c r="Z39" s="508">
        <f t="shared" si="13"/>
        <v>111</v>
      </c>
      <c r="AA39" s="961">
        <f t="shared" si="3"/>
        <v>1</v>
      </c>
      <c r="AB39" s="961">
        <f t="shared" si="4"/>
        <v>1</v>
      </c>
      <c r="AC39" s="961">
        <f t="shared" si="5"/>
        <v>1</v>
      </c>
    </row>
    <row r="40" spans="1:29" ht="15.6">
      <c r="A40" s="3355" t="s">
        <v>1601</v>
      </c>
      <c r="B40" s="3039" t="s">
        <v>1781</v>
      </c>
      <c r="C40" s="3356"/>
      <c r="D40" s="3139">
        <v>100</v>
      </c>
      <c r="E40" s="3356"/>
      <c r="F40" s="4036" t="e">
        <f>LOOKUP(E40,118:118,119:119)-LOOKUP(C40,118:118,119:119)+100</f>
        <v>#N/A</v>
      </c>
      <c r="G40" s="3356"/>
      <c r="H40" s="4036" t="e">
        <f>LOOKUP(G40,118:118,119:119)-LOOKUP(C40,118:118,119:119)+100</f>
        <v>#N/A</v>
      </c>
      <c r="I40" s="3369"/>
      <c r="J40" s="4036" t="e">
        <f>LOOKUP(I40,118:118,119:119)-LOOKUP(C40,118:118,119:119)+100</f>
        <v>#N/A</v>
      </c>
      <c r="K40" s="3100"/>
      <c r="L40" s="2153"/>
      <c r="M40" s="2147"/>
      <c r="N40" s="2147"/>
      <c r="O40" s="2205"/>
      <c r="P40" s="5014"/>
      <c r="Q40" s="3276" t="str">
        <f>B40</f>
        <v>宗地面积</v>
      </c>
      <c r="R40" s="4072" t="s">
        <v>13</v>
      </c>
      <c r="S40" s="4075" t="e">
        <f t="shared" si="10"/>
        <v>#N/A</v>
      </c>
      <c r="T40" s="4072" t="s">
        <v>13</v>
      </c>
      <c r="U40" s="4075" t="e">
        <f t="shared" si="11"/>
        <v>#N/A</v>
      </c>
      <c r="V40" s="4072" t="s">
        <v>13</v>
      </c>
      <c r="W40" s="4075" t="e">
        <f t="shared" si="12"/>
        <v>#N/A</v>
      </c>
      <c r="X40" s="963"/>
      <c r="Y40" s="4878"/>
      <c r="Z40" s="964" t="str">
        <f t="shared" si="13"/>
        <v>宗地面积</v>
      </c>
      <c r="AA40" s="961" t="e">
        <f t="shared" si="3"/>
        <v>#N/A</v>
      </c>
      <c r="AB40" s="961" t="e">
        <f t="shared" si="4"/>
        <v>#N/A</v>
      </c>
      <c r="AC40" s="961" t="e">
        <f t="shared" si="5"/>
        <v>#N/A</v>
      </c>
    </row>
    <row r="41" spans="1:29" ht="15">
      <c r="A41" s="3355"/>
      <c r="B41" s="3275" t="s">
        <v>1782</v>
      </c>
      <c r="C41" s="3068"/>
      <c r="D41" s="3132">
        <v>100</v>
      </c>
      <c r="E41" s="3068"/>
      <c r="F41" s="4029">
        <f>SUMIF(120:120,E41,121:121)-SUMIF(120:120,C41,121:121)+100</f>
        <v>100</v>
      </c>
      <c r="G41" s="3068"/>
      <c r="H41" s="4029">
        <f>SUMIF(120:120,G41,121:121)-SUMIF(120:120,C41,121:121)+100</f>
        <v>100</v>
      </c>
      <c r="I41" s="3068"/>
      <c r="J41" s="4029">
        <f>SUMIF(120:120,I41,121:121)-SUMIF(120:120,C41,121:121)+100</f>
        <v>100</v>
      </c>
      <c r="K41" s="3099"/>
      <c r="L41" s="2153"/>
      <c r="M41" s="2147"/>
      <c r="N41" s="2147"/>
      <c r="O41" s="2205"/>
      <c r="P41" s="5014"/>
      <c r="Q41" s="3276" t="str">
        <f t="shared" ref="Q41:Q47" si="14">B41</f>
        <v>宗地形状</v>
      </c>
      <c r="R41" s="4072" t="s">
        <v>13</v>
      </c>
      <c r="S41" s="4075">
        <f t="shared" si="10"/>
        <v>100</v>
      </c>
      <c r="T41" s="4072" t="s">
        <v>13</v>
      </c>
      <c r="U41" s="4075">
        <f t="shared" si="11"/>
        <v>100</v>
      </c>
      <c r="V41" s="4072" t="s">
        <v>13</v>
      </c>
      <c r="W41" s="4075">
        <f t="shared" si="12"/>
        <v>100</v>
      </c>
      <c r="X41" s="963"/>
      <c r="Y41" s="4878"/>
      <c r="Z41" s="964" t="str">
        <f t="shared" si="13"/>
        <v>宗地形状</v>
      </c>
      <c r="AA41" s="961">
        <f t="shared" si="3"/>
        <v>1</v>
      </c>
      <c r="AB41" s="961">
        <f t="shared" si="4"/>
        <v>1</v>
      </c>
      <c r="AC41" s="961">
        <f t="shared" si="5"/>
        <v>1</v>
      </c>
    </row>
    <row r="42" spans="1:29" ht="15">
      <c r="A42" s="3355"/>
      <c r="B42" s="3275" t="s">
        <v>1783</v>
      </c>
      <c r="C42" s="3068"/>
      <c r="D42" s="3132">
        <v>100</v>
      </c>
      <c r="E42" s="3068"/>
      <c r="F42" s="4029">
        <f>SUMIF(122:122,E42,123:123)-SUMIF(122:122,C42,123:123)+100</f>
        <v>100</v>
      </c>
      <c r="G42" s="3068"/>
      <c r="H42" s="4029">
        <f>SUMIF(122:122,G42,123:123)-SUMIF(122:122,C42,123:123)+100</f>
        <v>100</v>
      </c>
      <c r="I42" s="3068"/>
      <c r="J42" s="4029">
        <f>SUMIF(122:122,I42,123:123)-SUMIF(122:122,C42,123:123)+100</f>
        <v>100</v>
      </c>
      <c r="K42" s="3099"/>
      <c r="L42" s="2153"/>
      <c r="M42" s="2147"/>
      <c r="N42" s="2147"/>
      <c r="O42" s="2205"/>
      <c r="P42" s="5014"/>
      <c r="Q42" s="3276" t="str">
        <f t="shared" si="14"/>
        <v>临街宽度及深度</v>
      </c>
      <c r="R42" s="4072" t="s">
        <v>13</v>
      </c>
      <c r="S42" s="4075">
        <f t="shared" si="10"/>
        <v>100</v>
      </c>
      <c r="T42" s="4072" t="s">
        <v>13</v>
      </c>
      <c r="U42" s="4075">
        <f t="shared" si="11"/>
        <v>100</v>
      </c>
      <c r="V42" s="4072" t="s">
        <v>13</v>
      </c>
      <c r="W42" s="4075">
        <f t="shared" si="12"/>
        <v>100</v>
      </c>
      <c r="X42" s="963"/>
      <c r="Y42" s="4878"/>
      <c r="Z42" s="964" t="str">
        <f t="shared" si="13"/>
        <v>临街宽度及深度</v>
      </c>
      <c r="AA42" s="961">
        <f t="shared" si="3"/>
        <v>1</v>
      </c>
      <c r="AB42" s="961">
        <f t="shared" si="4"/>
        <v>1</v>
      </c>
      <c r="AC42" s="961">
        <f t="shared" si="5"/>
        <v>1</v>
      </c>
    </row>
    <row r="43" spans="1:29" s="49" customFormat="1" ht="15">
      <c r="A43" s="3357"/>
      <c r="B43" s="3275" t="s">
        <v>1784</v>
      </c>
      <c r="C43" s="3358"/>
      <c r="D43" s="3130">
        <v>100</v>
      </c>
      <c r="E43" s="3358"/>
      <c r="F43" s="4029">
        <f>SUMIF(124:124,E43,125:125)-SUMIF(124:124,C43,125:125)+100</f>
        <v>100</v>
      </c>
      <c r="G43" s="3358"/>
      <c r="H43" s="4029">
        <f>SUMIF(124:124,G43,125:125)-SUMIF(124:124,C43,125:125)+100</f>
        <v>100</v>
      </c>
      <c r="I43" s="3358"/>
      <c r="J43" s="4029">
        <f>SUMIF(124:124,I43,125:125)-SUMIF(124:124,C43,125:125)+100</f>
        <v>100</v>
      </c>
      <c r="K43" s="3099"/>
      <c r="L43" s="2148"/>
      <c r="M43" s="2149"/>
      <c r="N43" s="2149"/>
      <c r="O43" s="2203"/>
      <c r="P43" s="5014"/>
      <c r="Q43" s="3276" t="str">
        <f t="shared" si="14"/>
        <v>宗地开发程度</v>
      </c>
      <c r="R43" s="4071" t="s">
        <v>13</v>
      </c>
      <c r="S43" s="4074">
        <f t="shared" si="10"/>
        <v>100</v>
      </c>
      <c r="T43" s="4071" t="s">
        <v>13</v>
      </c>
      <c r="U43" s="4074">
        <f t="shared" si="11"/>
        <v>100</v>
      </c>
      <c r="V43" s="4071" t="s">
        <v>13</v>
      </c>
      <c r="W43" s="4074">
        <f t="shared" si="12"/>
        <v>100</v>
      </c>
      <c r="X43" s="504"/>
      <c r="Y43" s="4878"/>
      <c r="Z43" s="28" t="str">
        <f t="shared" si="13"/>
        <v>宗地开发程度</v>
      </c>
      <c r="AA43" s="505">
        <f t="shared" si="3"/>
        <v>1</v>
      </c>
      <c r="AB43" s="505">
        <f t="shared" si="4"/>
        <v>1</v>
      </c>
      <c r="AC43" s="505">
        <f t="shared" si="5"/>
        <v>1</v>
      </c>
    </row>
    <row r="44" spans="1:29" ht="15">
      <c r="A44" s="3355"/>
      <c r="B44" s="3275" t="s">
        <v>1785</v>
      </c>
      <c r="C44" s="3068"/>
      <c r="D44" s="3132">
        <v>100</v>
      </c>
      <c r="E44" s="3068"/>
      <c r="F44" s="4029">
        <f>SUMIF(126:126,E44,127:127)-SUMIF(126:126,C44,127:127)+100</f>
        <v>100</v>
      </c>
      <c r="G44" s="3068"/>
      <c r="H44" s="4029">
        <f>SUMIF(126:126,G44,127:127)-SUMIF(126:126,C44,127:127)+100</f>
        <v>100</v>
      </c>
      <c r="I44" s="3068"/>
      <c r="J44" s="4029">
        <f>SUMIF(126:126,I44,127:127)-SUMIF(126:126,C44,127:127)+100</f>
        <v>100</v>
      </c>
      <c r="K44" s="3099"/>
      <c r="L44" s="2153"/>
      <c r="M44" s="2147"/>
      <c r="N44" s="2147"/>
      <c r="O44" s="2205"/>
      <c r="P44" s="5014" t="s">
        <v>1603</v>
      </c>
      <c r="Q44" s="3276" t="str">
        <f t="shared" si="14"/>
        <v>工程地质条件</v>
      </c>
      <c r="R44" s="4072" t="s">
        <v>13</v>
      </c>
      <c r="S44" s="4075">
        <f t="shared" si="10"/>
        <v>100</v>
      </c>
      <c r="T44" s="4072" t="s">
        <v>13</v>
      </c>
      <c r="U44" s="4075">
        <f t="shared" si="11"/>
        <v>100</v>
      </c>
      <c r="V44" s="4072" t="s">
        <v>13</v>
      </c>
      <c r="W44" s="4075">
        <f t="shared" si="12"/>
        <v>100</v>
      </c>
      <c r="X44" s="963"/>
      <c r="Y44" s="4878" t="s">
        <v>1603</v>
      </c>
      <c r="Z44" s="964" t="str">
        <f t="shared" si="13"/>
        <v>工程地质条件</v>
      </c>
      <c r="AA44" s="961">
        <f t="shared" si="3"/>
        <v>1</v>
      </c>
      <c r="AB44" s="961">
        <f t="shared" si="4"/>
        <v>1</v>
      </c>
      <c r="AC44" s="961">
        <f t="shared" si="5"/>
        <v>1</v>
      </c>
    </row>
    <row r="45" spans="1:29" ht="15">
      <c r="A45" s="3355"/>
      <c r="B45" s="3351">
        <v>111</v>
      </c>
      <c r="C45" s="3349"/>
      <c r="D45" s="3132">
        <v>100</v>
      </c>
      <c r="E45" s="3349"/>
      <c r="F45" s="4029">
        <f>SUMIF(128:128,E45,129:129)-SUMIF(128:128,C45,129:129)+100</f>
        <v>100</v>
      </c>
      <c r="G45" s="3349"/>
      <c r="H45" s="4029">
        <f>SUMIF(128:128,G45,129:129)-SUMIF(128:128,C45,129:129)+100</f>
        <v>100</v>
      </c>
      <c r="I45" s="3363"/>
      <c r="J45" s="4029">
        <f>SUMIF(128:128,I45,129:129)-SUMIF(128:128,C45,129:129)+100</f>
        <v>100</v>
      </c>
      <c r="K45" s="3100"/>
      <c r="L45" s="2153"/>
      <c r="M45" s="2147"/>
      <c r="N45" s="2147"/>
      <c r="O45" s="2205"/>
      <c r="P45" s="5014"/>
      <c r="Q45" s="3276">
        <f t="shared" si="14"/>
        <v>111</v>
      </c>
      <c r="R45" s="4072" t="s">
        <v>13</v>
      </c>
      <c r="S45" s="4075">
        <f t="shared" si="10"/>
        <v>100</v>
      </c>
      <c r="T45" s="4072" t="s">
        <v>13</v>
      </c>
      <c r="U45" s="4075">
        <f t="shared" si="11"/>
        <v>100</v>
      </c>
      <c r="V45" s="4072" t="s">
        <v>13</v>
      </c>
      <c r="W45" s="4075">
        <f t="shared" si="12"/>
        <v>100</v>
      </c>
      <c r="X45" s="963"/>
      <c r="Y45" s="4878"/>
      <c r="Z45" s="964">
        <f t="shared" si="13"/>
        <v>111</v>
      </c>
      <c r="AA45" s="961">
        <f t="shared" si="3"/>
        <v>1</v>
      </c>
      <c r="AB45" s="961">
        <f t="shared" si="4"/>
        <v>1</v>
      </c>
      <c r="AC45" s="961">
        <f t="shared" si="5"/>
        <v>1</v>
      </c>
    </row>
    <row r="46" spans="1:29" ht="15">
      <c r="A46" s="3355"/>
      <c r="B46" s="3351">
        <v>111</v>
      </c>
      <c r="C46" s="3349"/>
      <c r="D46" s="3132">
        <v>100</v>
      </c>
      <c r="E46" s="3349"/>
      <c r="F46" s="4029">
        <f>SUMIF(130:130,E46,131:131)-SUMIF(130:130,C46,131:131)+100</f>
        <v>100</v>
      </c>
      <c r="G46" s="3349"/>
      <c r="H46" s="4029">
        <f>SUMIF(130:130,G46,131:131)-SUMIF(130:130,C46,131:131)+100</f>
        <v>100</v>
      </c>
      <c r="I46" s="3363"/>
      <c r="J46" s="4029">
        <f>SUMIF(130:130,I46,131:131)-SUMIF(130:130,C46,131:131)+100</f>
        <v>100</v>
      </c>
      <c r="K46" s="3100"/>
      <c r="L46" s="2153"/>
      <c r="M46" s="2147"/>
      <c r="N46" s="2147"/>
      <c r="O46" s="2205"/>
      <c r="P46" s="5014"/>
      <c r="Q46" s="3276">
        <f t="shared" si="14"/>
        <v>111</v>
      </c>
      <c r="R46" s="4072" t="s">
        <v>13</v>
      </c>
      <c r="S46" s="4075">
        <f t="shared" si="10"/>
        <v>100</v>
      </c>
      <c r="T46" s="4072" t="s">
        <v>13</v>
      </c>
      <c r="U46" s="4075">
        <f t="shared" si="11"/>
        <v>100</v>
      </c>
      <c r="V46" s="4072" t="s">
        <v>13</v>
      </c>
      <c r="W46" s="4075">
        <f t="shared" si="12"/>
        <v>100</v>
      </c>
      <c r="X46" s="963"/>
      <c r="Y46" s="4878"/>
      <c r="Z46" s="964">
        <f t="shared" si="13"/>
        <v>111</v>
      </c>
      <c r="AA46" s="961">
        <f t="shared" si="3"/>
        <v>1</v>
      </c>
      <c r="AB46" s="961">
        <f t="shared" si="4"/>
        <v>1</v>
      </c>
      <c r="AC46" s="961">
        <f t="shared" si="5"/>
        <v>1</v>
      </c>
    </row>
    <row r="47" spans="1:29" s="285" customFormat="1" ht="15.6"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2"/>
      <c r="M47" s="2154"/>
      <c r="N47" s="2154"/>
      <c r="O47" s="2206"/>
      <c r="P47" s="5014"/>
      <c r="Q47" s="3276">
        <f t="shared" si="14"/>
        <v>111</v>
      </c>
      <c r="R47" s="4073" t="s">
        <v>13</v>
      </c>
      <c r="S47" s="4076">
        <f t="shared" si="10"/>
        <v>100</v>
      </c>
      <c r="T47" s="4073" t="s">
        <v>13</v>
      </c>
      <c r="U47" s="4076">
        <f t="shared" si="11"/>
        <v>100</v>
      </c>
      <c r="V47" s="4073" t="s">
        <v>13</v>
      </c>
      <c r="W47" s="4076">
        <f t="shared" si="12"/>
        <v>100</v>
      </c>
      <c r="X47" s="507"/>
      <c r="Y47" s="4878"/>
      <c r="Z47" s="508">
        <f t="shared" si="13"/>
        <v>111</v>
      </c>
      <c r="AA47" s="961">
        <f t="shared" si="3"/>
        <v>1</v>
      </c>
      <c r="AB47" s="961">
        <f t="shared" si="4"/>
        <v>1</v>
      </c>
      <c r="AC47" s="961">
        <f t="shared" si="5"/>
        <v>1</v>
      </c>
    </row>
    <row r="48" spans="1:29" ht="14.4">
      <c r="A48" s="292" t="s">
        <v>1751</v>
      </c>
      <c r="B48" s="1536" t="s">
        <v>1786</v>
      </c>
      <c r="C48" s="455" t="s">
        <v>0</v>
      </c>
      <c r="D48" s="294"/>
      <c r="E48" s="3457"/>
      <c r="F48" s="3401"/>
      <c r="G48" s="3458"/>
      <c r="H48" s="3402"/>
      <c r="I48" s="3457"/>
      <c r="J48" s="3402"/>
      <c r="K48" s="3104"/>
      <c r="L48" s="2155"/>
      <c r="M48" s="2156"/>
      <c r="N48" s="2147"/>
      <c r="O48" s="2156"/>
      <c r="P48" s="4954" t="str">
        <f>A48</f>
        <v>成交单价</v>
      </c>
      <c r="Q48" s="4954"/>
      <c r="R48" s="4955">
        <f>E48</f>
        <v>0</v>
      </c>
      <c r="S48" s="4955"/>
      <c r="T48" s="4955">
        <f>G48</f>
        <v>0</v>
      </c>
      <c r="U48" s="4955"/>
      <c r="V48" s="4955">
        <f>I48</f>
        <v>0</v>
      </c>
      <c r="W48" s="4955"/>
      <c r="X48" s="493"/>
      <c r="Y48" s="509"/>
      <c r="Z48" s="493"/>
      <c r="AA48" s="493"/>
      <c r="AB48" s="493"/>
      <c r="AC48" s="493"/>
    </row>
    <row r="49" spans="1:29" ht="15" thickBot="1">
      <c r="A49" s="295" t="s">
        <v>1700</v>
      </c>
      <c r="B49" s="456"/>
      <c r="C49" s="4048" t="e">
        <f>R50</f>
        <v>#DIV/0!</v>
      </c>
      <c r="D49" s="4194" t="s">
        <v>2040</v>
      </c>
      <c r="E49" s="4048" t="e">
        <f>R49</f>
        <v>#DIV/0!</v>
      </c>
      <c r="F49" s="3042"/>
      <c r="G49" s="4037" t="e">
        <f>T49</f>
        <v>#DIV/0!</v>
      </c>
      <c r="H49" s="3042"/>
      <c r="I49" s="4048" t="e">
        <f>V49</f>
        <v>#DIV/0!</v>
      </c>
      <c r="J49" s="3042"/>
      <c r="K49" s="3097">
        <f>F49+H49+J49</f>
        <v>0</v>
      </c>
      <c r="L49" s="2155"/>
      <c r="M49" s="2156"/>
      <c r="N49" s="2156"/>
      <c r="O49" s="2156"/>
      <c r="P49" s="4954" t="str">
        <f>A49</f>
        <v>比较价值（元/平方米）</v>
      </c>
      <c r="Q49" s="4954"/>
      <c r="R49" s="4955" t="e">
        <f>ROUND(PRODUCT(R48,AA9:AA47),0)</f>
        <v>#DIV/0!</v>
      </c>
      <c r="S49" s="4955"/>
      <c r="T49" s="4955" t="e">
        <f>ROUND(PRODUCT(T48,AB9:AB47),0)</f>
        <v>#DIV/0!</v>
      </c>
      <c r="U49" s="4955"/>
      <c r="V49" s="4955" t="e">
        <f>ROUND(PRODUCT(V48,AC9:AC47),0)</f>
        <v>#DIV/0!</v>
      </c>
      <c r="W49" s="4955"/>
      <c r="X49" s="493"/>
      <c r="Y49" s="493"/>
      <c r="Z49" s="493"/>
      <c r="AA49" s="493"/>
      <c r="AB49" s="493"/>
      <c r="AC49" s="493"/>
    </row>
    <row r="50" spans="1:29" ht="15" thickBot="1">
      <c r="A50" s="297" t="s">
        <v>1787</v>
      </c>
      <c r="B50" s="298"/>
      <c r="C50" s="4049" t="e">
        <f>R50</f>
        <v>#DIV/0!</v>
      </c>
      <c r="D50" s="299"/>
      <c r="E50" s="299"/>
      <c r="F50" s="299"/>
      <c r="G50" s="299"/>
      <c r="H50" s="299"/>
      <c r="I50" s="299"/>
      <c r="J50" s="299"/>
      <c r="K50" s="3374"/>
      <c r="L50" s="2155"/>
      <c r="M50" s="2156"/>
      <c r="N50" s="2156"/>
      <c r="O50" s="2156"/>
      <c r="P50" s="4951" t="str">
        <f>A50</f>
        <v>估价对象XX用房的比较价值（楼面单价，元/平方米）</v>
      </c>
      <c r="Q50" s="4952"/>
      <c r="R50" s="4953" t="e">
        <f>ROUND(IF(D49="简单平均",AVERAGE(R49:W49),R49*F49+T49*H49+V49*J49),0)</f>
        <v>#DIV/0!</v>
      </c>
      <c r="S50" s="4953"/>
      <c r="T50" s="4953"/>
      <c r="U50" s="4953"/>
      <c r="V50" s="4953"/>
      <c r="W50" s="4953"/>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883" t="s">
        <v>1794</v>
      </c>
      <c r="H57" s="5031"/>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89" t="e">
        <f>C50</f>
        <v>#DIV/0!</v>
      </c>
      <c r="C58" s="3073">
        <v>1</v>
      </c>
      <c r="D58" s="3313">
        <v>1</v>
      </c>
      <c r="E58" s="3312">
        <f>'数据-汇总表'!E8+'数据-汇总表'!E9</f>
        <v>0</v>
      </c>
      <c r="F58" s="3334" t="e">
        <f t="shared" ref="F58:F66" si="15">ROUND(B58*E58/10000,0)</f>
        <v>#DIV/0!</v>
      </c>
      <c r="G58" s="5032"/>
      <c r="H58" s="4870"/>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89" t="e">
        <f>ROUND($C$50*C59*D59,0)</f>
        <v>#DIV/0!</v>
      </c>
      <c r="C59" s="3311">
        <f t="shared" ref="C59:C66" si="16">IF($C$57="北京市系数",I59,J59)</f>
        <v>0</v>
      </c>
      <c r="D59" s="3314">
        <v>0.25</v>
      </c>
      <c r="E59" s="3316"/>
      <c r="F59" s="3334" t="e">
        <f t="shared" si="15"/>
        <v>#DIV/0!</v>
      </c>
      <c r="G59" s="2371" t="s">
        <v>1799</v>
      </c>
      <c r="H59" s="607">
        <f>项目基本情况!B37</f>
        <v>0</v>
      </c>
      <c r="I59" s="3329">
        <f>SUMIF(修正!A59:A70,H59,修正!B59:B70)</f>
        <v>0</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89" t="e">
        <f t="shared" ref="B60:B66" si="17">ROUND($C$50*C60*D60,0)</f>
        <v>#DIV/0!</v>
      </c>
      <c r="C60" s="3311">
        <f t="shared" si="16"/>
        <v>0</v>
      </c>
      <c r="D60" s="3314">
        <v>0.25</v>
      </c>
      <c r="E60" s="3316"/>
      <c r="F60" s="3334" t="e">
        <f t="shared" si="15"/>
        <v>#DIV/0!</v>
      </c>
      <c r="G60" s="2372"/>
      <c r="H60" s="607">
        <f>项目基本情况!B37</f>
        <v>0</v>
      </c>
      <c r="I60" s="3329">
        <f>SUMIF(修正!A59:A70,H60,修正!C59:C70)</f>
        <v>0</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89" t="e">
        <f t="shared" si="17"/>
        <v>#DIV/0!</v>
      </c>
      <c r="C61" s="3311">
        <f t="shared" si="16"/>
        <v>0</v>
      </c>
      <c r="D61" s="3314">
        <v>0.25</v>
      </c>
      <c r="E61" s="3316"/>
      <c r="F61" s="3334" t="e">
        <f t="shared" si="15"/>
        <v>#DIV/0!</v>
      </c>
      <c r="G61" s="2372"/>
      <c r="H61" s="607">
        <f>项目基本情况!B37</f>
        <v>0</v>
      </c>
      <c r="I61" s="3329">
        <f>SUMIF(修正!A59:A70,H61,修正!D59:D70)</f>
        <v>0</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89" t="e">
        <f t="shared" si="17"/>
        <v>#DIV/0!</v>
      </c>
      <c r="C64" s="3311">
        <f t="shared" si="16"/>
        <v>0.15</v>
      </c>
      <c r="D64" s="3314">
        <v>0.25</v>
      </c>
      <c r="E64" s="3317">
        <f>'数据-汇总表'!E13</f>
        <v>42.16</v>
      </c>
      <c r="F64" s="3334" t="e">
        <f t="shared" si="15"/>
        <v>#DIV/0!</v>
      </c>
      <c r="G64" s="3327" t="s">
        <v>1807</v>
      </c>
      <c r="H64" s="607" t="str">
        <f>IF(G64="商业",项目基本情况!B37,IF(G64="办公",项目基本情况!C37,IF(G64="住宅",项目基本情况!D37,项目基本情况!E37)))</f>
        <v>七级</v>
      </c>
      <c r="I64" s="3329">
        <f>SUMIF(修正!A59:A70,H64,修正!G59:G70)</f>
        <v>0.15</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1810</v>
      </c>
      <c r="B67" s="465" t="s">
        <v>20</v>
      </c>
      <c r="C67" s="465" t="s">
        <v>21</v>
      </c>
      <c r="D67" s="3335" t="s">
        <v>386</v>
      </c>
      <c r="E67" s="3318">
        <f>IF(B48="楼面地价",SUM(E58:E66),'数据-汇总表'!D3)</f>
        <v>42.16</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70"/>
      <c r="Q72" s="2094"/>
      <c r="R72" s="2094"/>
      <c r="S72" s="2094"/>
      <c r="T72" s="2094"/>
      <c r="U72" s="2094"/>
      <c r="V72" s="2094"/>
      <c r="W72" s="2094"/>
      <c r="X72" s="2094"/>
      <c r="Y72" s="2094"/>
      <c r="Z72" s="2094"/>
      <c r="AA72" s="2094"/>
      <c r="AB72" s="2094"/>
      <c r="AC72" s="2094"/>
    </row>
    <row r="73" spans="1:29" s="49" customFormat="1" ht="1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8" t="s">
        <v>1676</v>
      </c>
      <c r="B6" s="3409"/>
      <c r="C6" s="4963" t="s">
        <v>1677</v>
      </c>
      <c r="D6" s="4964"/>
      <c r="E6" s="4965" t="s">
        <v>1678</v>
      </c>
      <c r="F6" s="4966"/>
      <c r="G6" s="4963" t="s">
        <v>1679</v>
      </c>
      <c r="H6" s="4964"/>
      <c r="I6" s="4963" t="s">
        <v>1680</v>
      </c>
      <c r="J6" s="4964"/>
      <c r="K6" s="406" t="s">
        <v>1681</v>
      </c>
      <c r="L6" s="2146"/>
      <c r="M6" s="2147"/>
      <c r="N6" s="2147"/>
      <c r="O6" s="2147"/>
      <c r="P6" s="4967" t="s">
        <v>1682</v>
      </c>
      <c r="Q6" s="4968"/>
      <c r="R6" s="4973" t="s">
        <v>1678</v>
      </c>
      <c r="S6" s="4974"/>
      <c r="T6" s="4973" t="s">
        <v>1679</v>
      </c>
      <c r="U6" s="4974"/>
      <c r="V6" s="4979" t="s">
        <v>1680</v>
      </c>
      <c r="W6" s="4979"/>
      <c r="X6" s="963"/>
      <c r="Y6" s="4893" t="s">
        <v>1682</v>
      </c>
      <c r="Z6" s="4894"/>
      <c r="AA6" s="4880" t="s">
        <v>1678</v>
      </c>
      <c r="AB6" s="4881" t="s">
        <v>1679</v>
      </c>
      <c r="AC6" s="4880" t="s">
        <v>1680</v>
      </c>
    </row>
    <row r="7" spans="1:29">
      <c r="A7" s="3345"/>
      <c r="B7" s="3410"/>
      <c r="C7" s="4982" t="s">
        <v>1580</v>
      </c>
      <c r="D7" s="4983"/>
      <c r="E7" s="4989" t="s">
        <v>1581</v>
      </c>
      <c r="F7" s="4990"/>
      <c r="G7" s="4982" t="s">
        <v>1582</v>
      </c>
      <c r="H7" s="4983"/>
      <c r="I7" s="4982" t="s">
        <v>1583</v>
      </c>
      <c r="J7" s="4983"/>
      <c r="K7" s="406"/>
      <c r="L7" s="2146"/>
      <c r="M7" s="2147"/>
      <c r="N7" s="2147"/>
      <c r="O7" s="2147"/>
      <c r="P7" s="4969"/>
      <c r="Q7" s="4970"/>
      <c r="R7" s="4975"/>
      <c r="S7" s="4976"/>
      <c r="T7" s="4975"/>
      <c r="U7" s="4976"/>
      <c r="V7" s="4979"/>
      <c r="W7" s="4979"/>
      <c r="X7" s="963"/>
      <c r="Y7" s="4895"/>
      <c r="Z7" s="4896"/>
      <c r="AA7" s="4881"/>
      <c r="AB7" s="4881"/>
      <c r="AC7" s="4881"/>
    </row>
    <row r="8" spans="1:29" ht="15" thickBot="1">
      <c r="A8" s="3411"/>
      <c r="B8" s="3412"/>
      <c r="C8" s="5033" t="s">
        <v>1826</v>
      </c>
      <c r="D8" s="5034"/>
      <c r="E8" s="5035" t="s">
        <v>1826</v>
      </c>
      <c r="F8" s="5036"/>
      <c r="G8" s="5033" t="s">
        <v>1826</v>
      </c>
      <c r="H8" s="5034"/>
      <c r="I8" s="5033" t="s">
        <v>1826</v>
      </c>
      <c r="J8" s="5034"/>
      <c r="K8" s="406" t="s">
        <v>1585</v>
      </c>
      <c r="L8" s="2146"/>
      <c r="M8" s="2147"/>
      <c r="N8" s="2147"/>
      <c r="O8" s="2147"/>
      <c r="P8" s="4971"/>
      <c r="Q8" s="4972"/>
      <c r="R8" s="4975"/>
      <c r="S8" s="4976"/>
      <c r="T8" s="4977"/>
      <c r="U8" s="4978"/>
      <c r="V8" s="4979"/>
      <c r="W8" s="4979"/>
      <c r="X8" s="963"/>
      <c r="Y8" s="4897"/>
      <c r="Z8" s="4898"/>
      <c r="AA8" s="4882"/>
      <c r="AB8" s="4882"/>
      <c r="AC8" s="4882"/>
    </row>
    <row r="9" spans="1:29" s="49" customFormat="1" ht="15" thickBot="1">
      <c r="A9" s="3337" t="s">
        <v>1586</v>
      </c>
      <c r="B9" s="3338"/>
      <c r="C9" s="3052">
        <f>'数据-取费表'!B2</f>
        <v>46093</v>
      </c>
      <c r="D9" s="3128">
        <v>100</v>
      </c>
      <c r="E9" s="3082"/>
      <c r="F9" s="4021">
        <f>SUMIF(67:67,YEAR(E9)&amp;"-"&amp;INT((MONTH(E9)+2)/3),68:68)</f>
        <v>0</v>
      </c>
      <c r="G9" s="3368"/>
      <c r="H9" s="4033">
        <f>SUMIF(67:67,YEAR(G9)&amp;"-"&amp;INT((MONTH(G9)+2)/3),68:68)</f>
        <v>0</v>
      </c>
      <c r="I9" s="3368"/>
      <c r="J9" s="4033">
        <f>SUMIF(67:67,YEAR(I9)&amp;"-"&amp;INT((MONTH(I9)+2)/3),68:68)</f>
        <v>0</v>
      </c>
      <c r="K9" s="407"/>
      <c r="L9" s="2148"/>
      <c r="M9" s="2149"/>
      <c r="N9" s="2149"/>
      <c r="O9" s="2149"/>
      <c r="P9" s="4984" t="s">
        <v>1587</v>
      </c>
      <c r="Q9" s="4986"/>
      <c r="R9" s="4071" t="s">
        <v>13</v>
      </c>
      <c r="S9" s="4074">
        <f t="shared" ref="S9:S17" si="0">F9</f>
        <v>0</v>
      </c>
      <c r="T9" s="4071" t="s">
        <v>13</v>
      </c>
      <c r="U9" s="4074">
        <f t="shared" ref="U9:U17" si="1">H9</f>
        <v>0</v>
      </c>
      <c r="V9" s="4071" t="s">
        <v>13</v>
      </c>
      <c r="W9" s="4074">
        <f t="shared" ref="W9:W17" si="2">J9</f>
        <v>0</v>
      </c>
      <c r="X9" s="504"/>
      <c r="Y9" s="4903" t="s">
        <v>1587</v>
      </c>
      <c r="Z9" s="4904"/>
      <c r="AA9" s="505" t="e">
        <f>D9/F9</f>
        <v>#DIV/0!</v>
      </c>
      <c r="AB9" s="505" t="e">
        <f>D9/H9</f>
        <v>#DIV/0!</v>
      </c>
      <c r="AC9" s="505" t="e">
        <f>D9/J9</f>
        <v>#DIV/0!</v>
      </c>
    </row>
    <row r="10" spans="1:29" s="49" customFormat="1" ht="15" thickBot="1">
      <c r="A10" s="3337" t="s">
        <v>1588</v>
      </c>
      <c r="B10" s="3338"/>
      <c r="C10" s="3053" t="s">
        <v>1589</v>
      </c>
      <c r="D10" s="3128">
        <v>100</v>
      </c>
      <c r="E10" s="3053"/>
      <c r="F10" s="4021">
        <f>SUMIF(70:70,E10,71:71)-SUMIF(70:70,C10,71:71)+100</f>
        <v>0</v>
      </c>
      <c r="G10" s="3053"/>
      <c r="H10" s="4033">
        <f>SUMIF(70:70,G10,71:71)-SUMIF(70:70,C10,71:71)+100</f>
        <v>0</v>
      </c>
      <c r="I10" s="3053"/>
      <c r="J10" s="4033">
        <f>SUMIF(70:70,I10,71:71)-SUMIF(70:70,C10,71:71)+100</f>
        <v>0</v>
      </c>
      <c r="K10" s="407"/>
      <c r="L10" s="2148"/>
      <c r="M10" s="2149"/>
      <c r="N10" s="2149"/>
      <c r="O10" s="2149"/>
      <c r="P10" s="4984" t="s">
        <v>1590</v>
      </c>
      <c r="Q10" s="4985"/>
      <c r="R10" s="4071" t="s">
        <v>13</v>
      </c>
      <c r="S10" s="4074">
        <f t="shared" si="0"/>
        <v>0</v>
      </c>
      <c r="T10" s="4071" t="s">
        <v>13</v>
      </c>
      <c r="U10" s="4074">
        <f t="shared" si="1"/>
        <v>0</v>
      </c>
      <c r="V10" s="4071" t="s">
        <v>13</v>
      </c>
      <c r="W10" s="4074">
        <f t="shared" si="2"/>
        <v>0</v>
      </c>
      <c r="X10" s="504"/>
      <c r="Y10" s="4903" t="s">
        <v>1590</v>
      </c>
      <c r="Z10" s="4904"/>
      <c r="AA10" s="505" t="e">
        <f t="shared" ref="AA10:AA42" si="3">D10/F10</f>
        <v>#DIV/0!</v>
      </c>
      <c r="AB10" s="505" t="e">
        <f t="shared" ref="AB10:AB42" si="4">D10/H10</f>
        <v>#DIV/0!</v>
      </c>
      <c r="AC10" s="505" t="e">
        <f t="shared" ref="AC10:AC42" si="5">D10/J10</f>
        <v>#DIV/0!</v>
      </c>
    </row>
    <row r="11" spans="1:29" s="49" customFormat="1" ht="14.4">
      <c r="A11" s="3272" t="s">
        <v>1591</v>
      </c>
      <c r="B11" s="3033" t="s">
        <v>1592</v>
      </c>
      <c r="C11" s="3339"/>
      <c r="D11" s="3129">
        <v>100</v>
      </c>
      <c r="E11" s="3339"/>
      <c r="F11" s="4034">
        <f>SUMIF(72:72,E11,73:73)-SUMIF(72:72,C11,73:73)+100</f>
        <v>100</v>
      </c>
      <c r="G11" s="3339"/>
      <c r="H11" s="4034">
        <f>SUMIF(72:72,G11,73:73)-SUMIF(72:72,C11,73:73)+100</f>
        <v>100</v>
      </c>
      <c r="I11" s="3339"/>
      <c r="J11" s="4034">
        <f>SUMIF(72:72,I11,73:73)-SUMIF(72:72,C11,73:73)+100</f>
        <v>100</v>
      </c>
      <c r="K11" s="407"/>
      <c r="L11" s="2148"/>
      <c r="M11" s="2149"/>
      <c r="N11" s="2149"/>
      <c r="O11" s="2203"/>
      <c r="P11" s="4954" t="s">
        <v>1593</v>
      </c>
      <c r="Q11" s="3273" t="str">
        <f t="shared" ref="Q11:Q17" si="6">B11</f>
        <v>用途</v>
      </c>
      <c r="R11" s="4071" t="s">
        <v>13</v>
      </c>
      <c r="S11" s="4074">
        <f t="shared" si="0"/>
        <v>100</v>
      </c>
      <c r="T11" s="4071" t="s">
        <v>13</v>
      </c>
      <c r="U11" s="4074">
        <f t="shared" si="1"/>
        <v>100</v>
      </c>
      <c r="V11" s="4071" t="s">
        <v>13</v>
      </c>
      <c r="W11" s="4074">
        <f t="shared" si="2"/>
        <v>100</v>
      </c>
      <c r="X11" s="504"/>
      <c r="Y11" s="4879" t="s">
        <v>1594</v>
      </c>
      <c r="Z11" s="28" t="str">
        <f t="shared" ref="Z11:Z17" si="7">Q11</f>
        <v>用途</v>
      </c>
      <c r="AA11" s="505">
        <f t="shared" si="3"/>
        <v>1</v>
      </c>
      <c r="AB11" s="505">
        <f t="shared" si="4"/>
        <v>1</v>
      </c>
      <c r="AC11" s="505">
        <f t="shared" si="5"/>
        <v>1</v>
      </c>
    </row>
    <row r="12" spans="1:29" s="259" customFormat="1" ht="28.8">
      <c r="A12" s="3340"/>
      <c r="B12" s="3275" t="s">
        <v>1595</v>
      </c>
      <c r="C12" s="3057"/>
      <c r="D12" s="3130">
        <v>100</v>
      </c>
      <c r="E12" s="3057"/>
      <c r="F12" s="4035">
        <f>ROUND(100/'数据-取费表'!G16,1)</f>
        <v>108.6</v>
      </c>
      <c r="G12" s="3057"/>
      <c r="H12" s="4035">
        <f>ROUND(100/'数据-取费表'!G16,1)</f>
        <v>108.6</v>
      </c>
      <c r="I12" s="3057"/>
      <c r="J12" s="4035">
        <f>ROUND(100/'数据-取费表'!G16,1)</f>
        <v>108.6</v>
      </c>
      <c r="K12" s="450"/>
      <c r="L12" s="2150"/>
      <c r="M12" s="2151"/>
      <c r="N12" s="2151"/>
      <c r="O12" s="2204"/>
      <c r="P12" s="4954"/>
      <c r="Q12" s="3273" t="str">
        <f t="shared" si="6"/>
        <v>土地使用年限（年）</v>
      </c>
      <c r="R12" s="4071" t="s">
        <v>13</v>
      </c>
      <c r="S12" s="4074">
        <f t="shared" si="0"/>
        <v>108.6</v>
      </c>
      <c r="T12" s="4071" t="s">
        <v>13</v>
      </c>
      <c r="U12" s="4074">
        <f t="shared" si="1"/>
        <v>108.6</v>
      </c>
      <c r="V12" s="4071" t="s">
        <v>13</v>
      </c>
      <c r="W12" s="4074">
        <f t="shared" si="2"/>
        <v>108.6</v>
      </c>
      <c r="X12" s="504"/>
      <c r="Y12" s="4879"/>
      <c r="Z12" s="28" t="str">
        <f t="shared" si="7"/>
        <v>土地使用年限（年）</v>
      </c>
      <c r="AA12" s="505">
        <f t="shared" si="3"/>
        <v>0.92081031307550654</v>
      </c>
      <c r="AB12" s="505">
        <f t="shared" si="4"/>
        <v>0.92081031307550654</v>
      </c>
      <c r="AC12" s="505">
        <f t="shared" si="5"/>
        <v>0.92081031307550654</v>
      </c>
    </row>
    <row r="13" spans="1:29" ht="15">
      <c r="A13" s="3341"/>
      <c r="B13" s="3275" t="s">
        <v>1596</v>
      </c>
      <c r="C13" s="3056"/>
      <c r="D13" s="3130">
        <v>100</v>
      </c>
      <c r="E13" s="3056"/>
      <c r="F13" s="4035" t="e">
        <f>LOOKUP(E13,77:77,78:78)-LOOKUP(C13,77:77,78:78)+100</f>
        <v>#N/A</v>
      </c>
      <c r="G13" s="3085"/>
      <c r="H13" s="4035" t="e">
        <f>LOOKUP(G13,77:77,78:78)-LOOKUP(C13,77:77,78:78)+100</f>
        <v>#N/A</v>
      </c>
      <c r="I13" s="3056"/>
      <c r="J13" s="4035" t="e">
        <f>LOOKUP(I13,77:77,78:78)-LOOKUP(C13,77:77,78:78)+100</f>
        <v>#N/A</v>
      </c>
      <c r="K13" s="451"/>
      <c r="L13" s="2152"/>
      <c r="M13" s="2147"/>
      <c r="N13" s="2147"/>
      <c r="O13" s="2205"/>
      <c r="P13" s="4954"/>
      <c r="Q13" s="3273" t="str">
        <f t="shared" si="6"/>
        <v>容积率</v>
      </c>
      <c r="R13" s="4071" t="s">
        <v>13</v>
      </c>
      <c r="S13" s="4074" t="e">
        <f t="shared" si="0"/>
        <v>#N/A</v>
      </c>
      <c r="T13" s="4071" t="s">
        <v>13</v>
      </c>
      <c r="U13" s="4074" t="e">
        <f t="shared" si="1"/>
        <v>#N/A</v>
      </c>
      <c r="V13" s="4071" t="s">
        <v>13</v>
      </c>
      <c r="W13" s="4074" t="e">
        <f t="shared" si="2"/>
        <v>#N/A</v>
      </c>
      <c r="X13" s="504"/>
      <c r="Y13" s="4879"/>
      <c r="Z13" s="28" t="str">
        <f t="shared" si="7"/>
        <v>容积率</v>
      </c>
      <c r="AA13" s="505" t="e">
        <f t="shared" si="3"/>
        <v>#N/A</v>
      </c>
      <c r="AB13" s="505" t="e">
        <f t="shared" si="4"/>
        <v>#N/A</v>
      </c>
      <c r="AC13" s="505" t="e">
        <f t="shared" si="5"/>
        <v>#N/A</v>
      </c>
    </row>
    <row r="14" spans="1:29" s="49" customFormat="1" ht="15">
      <c r="A14" s="3342"/>
      <c r="B14" s="3034">
        <v>111</v>
      </c>
      <c r="C14" s="3057"/>
      <c r="D14" s="3131">
        <v>100</v>
      </c>
      <c r="E14" s="3363"/>
      <c r="F14" s="4035">
        <f>SUMIF(79:79,E14,80:80)-SUMIF(79:79,C14,80:80)+100</f>
        <v>100</v>
      </c>
      <c r="G14" s="3349"/>
      <c r="H14" s="4035">
        <f>SUMIF(79:79,G14,80:80)-SUMIF(79:79,C14,80:80)+100</f>
        <v>100</v>
      </c>
      <c r="I14" s="3363"/>
      <c r="J14" s="4035">
        <f>SUMIF(79:79,I14,80:80)-SUMIF(79:79,C14,80:80)+100</f>
        <v>100</v>
      </c>
      <c r="K14" s="450"/>
      <c r="L14" s="2148"/>
      <c r="M14" s="2149"/>
      <c r="N14" s="2149"/>
      <c r="O14" s="2203"/>
      <c r="P14" s="4954"/>
      <c r="Q14" s="3273">
        <f t="shared" si="6"/>
        <v>111</v>
      </c>
      <c r="R14" s="4071" t="s">
        <v>13</v>
      </c>
      <c r="S14" s="4074">
        <f t="shared" si="0"/>
        <v>100</v>
      </c>
      <c r="T14" s="4071" t="s">
        <v>13</v>
      </c>
      <c r="U14" s="4074">
        <f t="shared" si="1"/>
        <v>100</v>
      </c>
      <c r="V14" s="4071" t="s">
        <v>13</v>
      </c>
      <c r="W14" s="4074">
        <f t="shared" si="2"/>
        <v>100</v>
      </c>
      <c r="X14" s="504"/>
      <c r="Y14" s="4879"/>
      <c r="Z14" s="28">
        <f t="shared" si="7"/>
        <v>111</v>
      </c>
      <c r="AA14" s="505">
        <f>D14/F14</f>
        <v>1</v>
      </c>
      <c r="AB14" s="505">
        <f>D14/H14</f>
        <v>1</v>
      </c>
      <c r="AC14" s="505">
        <f>D14/J14</f>
        <v>1</v>
      </c>
    </row>
    <row r="15" spans="1:29" ht="15">
      <c r="A15" s="3341"/>
      <c r="B15" s="3034">
        <v>111</v>
      </c>
      <c r="C15" s="3058"/>
      <c r="D15" s="3132">
        <v>100</v>
      </c>
      <c r="E15" s="3363"/>
      <c r="F15" s="4035">
        <f>SUMIF(81:81,E15,82:82)-SUMIF(81:81,C15,82:82)+100</f>
        <v>100</v>
      </c>
      <c r="G15" s="3349"/>
      <c r="H15" s="4029">
        <f>SUMIF(81:81,G15,82:82)-SUMIF(81:81,C15,82:82)+100</f>
        <v>100</v>
      </c>
      <c r="I15" s="3363"/>
      <c r="J15" s="4029">
        <f>SUMIF(81:81,I15,82:82)-SUMIF(81:81,C15,82:82)+100</f>
        <v>100</v>
      </c>
      <c r="K15" s="450"/>
      <c r="L15" s="2153"/>
      <c r="M15" s="2147"/>
      <c r="N15" s="2147"/>
      <c r="O15" s="2205"/>
      <c r="P15" s="4954"/>
      <c r="Q15" s="3273">
        <f t="shared" si="6"/>
        <v>111</v>
      </c>
      <c r="R15" s="4071" t="s">
        <v>13</v>
      </c>
      <c r="S15" s="4074">
        <f t="shared" si="0"/>
        <v>100</v>
      </c>
      <c r="T15" s="4071" t="s">
        <v>13</v>
      </c>
      <c r="U15" s="4074">
        <f t="shared" si="1"/>
        <v>100</v>
      </c>
      <c r="V15" s="4071" t="s">
        <v>13</v>
      </c>
      <c r="W15" s="4074">
        <f t="shared" si="2"/>
        <v>100</v>
      </c>
      <c r="X15" s="504"/>
      <c r="Y15" s="4879"/>
      <c r="Z15" s="28">
        <f t="shared" si="7"/>
        <v>111</v>
      </c>
      <c r="AA15" s="505">
        <f t="shared" si="3"/>
        <v>1</v>
      </c>
      <c r="AB15" s="505">
        <f t="shared" si="4"/>
        <v>1</v>
      </c>
      <c r="AC15" s="505">
        <f t="shared" si="5"/>
        <v>1</v>
      </c>
    </row>
    <row r="16" spans="1:29" ht="15.6" thickBot="1">
      <c r="A16" s="3343"/>
      <c r="B16" s="3035">
        <v>111</v>
      </c>
      <c r="C16" s="3059"/>
      <c r="D16" s="3133">
        <v>100</v>
      </c>
      <c r="E16" s="3363"/>
      <c r="F16" s="4031">
        <f>SUMIF(83:83,E16,84:84)-SUMIF(83:83,C16,84:84)+100</f>
        <v>100</v>
      </c>
      <c r="G16" s="3349"/>
      <c r="H16" s="4031">
        <f>SUMIF(83:83,G16,84:84)-SUMIF(83:83,C16,84:84)+100</f>
        <v>100</v>
      </c>
      <c r="I16" s="3363"/>
      <c r="J16" s="4031">
        <f>SUMIF(83:83,I16,84:84)-SUMIF(83:83,C16,84:84)+100</f>
        <v>100</v>
      </c>
      <c r="K16" s="450"/>
      <c r="L16" s="2153"/>
      <c r="M16" s="2147"/>
      <c r="N16" s="2147"/>
      <c r="O16" s="2205"/>
      <c r="P16" s="4954"/>
      <c r="Q16" s="3273">
        <f t="shared" si="6"/>
        <v>111</v>
      </c>
      <c r="R16" s="4071" t="s">
        <v>13</v>
      </c>
      <c r="S16" s="4074">
        <f t="shared" si="0"/>
        <v>100</v>
      </c>
      <c r="T16" s="4071" t="s">
        <v>13</v>
      </c>
      <c r="U16" s="4074">
        <f t="shared" si="1"/>
        <v>100</v>
      </c>
      <c r="V16" s="4071" t="s">
        <v>13</v>
      </c>
      <c r="W16" s="4074">
        <f t="shared" si="2"/>
        <v>100</v>
      </c>
      <c r="X16" s="504"/>
      <c r="Y16" s="4879"/>
      <c r="Z16" s="28">
        <f t="shared" si="7"/>
        <v>111</v>
      </c>
      <c r="AA16" s="505">
        <f t="shared" si="3"/>
        <v>1</v>
      </c>
      <c r="AB16" s="505">
        <f t="shared" si="4"/>
        <v>1</v>
      </c>
      <c r="AC16" s="505">
        <f t="shared" si="5"/>
        <v>1</v>
      </c>
    </row>
    <row r="17" spans="1:29" ht="69">
      <c r="A17" s="3344" t="s">
        <v>1597</v>
      </c>
      <c r="B17" s="3413" t="s">
        <v>1827</v>
      </c>
      <c r="C17" s="3422" t="str">
        <f>估价对象房地状况!G15</f>
        <v>估价对象位于XX开发区，园区建设成熟度XX，产业集聚程度XX</v>
      </c>
      <c r="D17" s="3134">
        <v>100</v>
      </c>
      <c r="E17" s="3086"/>
      <c r="F17" s="4025">
        <f>SUMIF(85:85,E18,86:86)-SUMIF(85:85,C18,86:86)+100</f>
        <v>100</v>
      </c>
      <c r="G17" s="3086"/>
      <c r="H17" s="4025">
        <f>SUMIF(85:85,G18,86:86)-SUMIF(85:85,C18,86:86)+100</f>
        <v>100</v>
      </c>
      <c r="I17" s="3092"/>
      <c r="J17" s="4025">
        <f>SUMIF(85:85,I18,86:86)-SUMIF(85:85,C18,86:86)+100</f>
        <v>100</v>
      </c>
      <c r="K17" s="451"/>
      <c r="L17" s="2153"/>
      <c r="M17" s="2147"/>
      <c r="N17" s="2147"/>
      <c r="O17" s="2205"/>
      <c r="P17" s="5011" t="s">
        <v>1598</v>
      </c>
      <c r="Q17" s="3276" t="str">
        <f t="shared" si="6"/>
        <v>产业集聚程度</v>
      </c>
      <c r="R17" s="4072" t="s">
        <v>13</v>
      </c>
      <c r="S17" s="4075">
        <f t="shared" si="0"/>
        <v>100</v>
      </c>
      <c r="T17" s="4072" t="s">
        <v>13</v>
      </c>
      <c r="U17" s="4075">
        <f t="shared" si="1"/>
        <v>100</v>
      </c>
      <c r="V17" s="4072" t="s">
        <v>13</v>
      </c>
      <c r="W17" s="4075">
        <f t="shared" si="2"/>
        <v>100</v>
      </c>
      <c r="X17" s="963"/>
      <c r="Y17" s="4875" t="s">
        <v>1598</v>
      </c>
      <c r="Z17" s="964" t="str">
        <f t="shared" si="7"/>
        <v>产业集聚程度</v>
      </c>
      <c r="AA17" s="961">
        <f t="shared" si="3"/>
        <v>1</v>
      </c>
      <c r="AB17" s="961">
        <f t="shared" si="4"/>
        <v>1</v>
      </c>
      <c r="AC17" s="961">
        <f t="shared" si="5"/>
        <v>1</v>
      </c>
    </row>
    <row r="18" spans="1:29" ht="15">
      <c r="A18" s="3341"/>
      <c r="B18" s="3414"/>
      <c r="C18" s="3061"/>
      <c r="D18" s="3135"/>
      <c r="E18" s="3113"/>
      <c r="F18" s="4026"/>
      <c r="G18" s="3113"/>
      <c r="H18" s="4027"/>
      <c r="I18" s="3113"/>
      <c r="J18" s="4026"/>
      <c r="K18" s="450"/>
      <c r="L18" s="2153"/>
      <c r="M18" s="2147"/>
      <c r="N18" s="2147"/>
      <c r="O18" s="2205"/>
      <c r="P18" s="5012"/>
      <c r="Q18" s="3276"/>
      <c r="R18" s="4072"/>
      <c r="S18" s="4075"/>
      <c r="T18" s="4072"/>
      <c r="U18" s="4075"/>
      <c r="V18" s="4072"/>
      <c r="W18" s="4075"/>
      <c r="X18" s="963"/>
      <c r="Y18" s="4876"/>
      <c r="Z18" s="964"/>
      <c r="AA18" s="961">
        <v>1</v>
      </c>
      <c r="AB18" s="961">
        <v>1</v>
      </c>
      <c r="AC18" s="961">
        <v>1</v>
      </c>
    </row>
    <row r="19" spans="1:29" ht="96.6">
      <c r="A19" s="3341"/>
      <c r="B19" s="3415" t="s">
        <v>1740</v>
      </c>
      <c r="C19" s="3062" t="str">
        <f>估价对象房地状况!G16</f>
        <v>估价对象周边道路状况、公共交通通达情况、停车便捷程度，综合评价交通便捷度较好</v>
      </c>
      <c r="D19" s="3136">
        <v>100</v>
      </c>
      <c r="E19" s="3087"/>
      <c r="F19" s="4028">
        <f>SUMIF(87:87,E20,88:88)-SUMIF(87:87,C20,88:88)+100</f>
        <v>100</v>
      </c>
      <c r="G19" s="3087"/>
      <c r="H19" s="4028">
        <f>SUMIF(87:87,G20,88:88)-SUMIF(87:87,C20,88:88)+100</f>
        <v>100</v>
      </c>
      <c r="I19" s="3093"/>
      <c r="J19" s="4027">
        <f>SUMIF(87:87,I20,88:88)-SUMIF(87:87,C20,88:88)+100</f>
        <v>100</v>
      </c>
      <c r="K19" s="451"/>
      <c r="L19" s="2153"/>
      <c r="M19" s="2147"/>
      <c r="N19" s="2147"/>
      <c r="O19" s="2205"/>
      <c r="P19" s="5012"/>
      <c r="Q19" s="3276" t="str">
        <f>B19</f>
        <v>交通便捷度</v>
      </c>
      <c r="R19" s="4072" t="s">
        <v>13</v>
      </c>
      <c r="S19" s="4075">
        <f>F19</f>
        <v>100</v>
      </c>
      <c r="T19" s="4072" t="s">
        <v>13</v>
      </c>
      <c r="U19" s="4075">
        <f>H19</f>
        <v>100</v>
      </c>
      <c r="V19" s="4072" t="s">
        <v>13</v>
      </c>
      <c r="W19" s="4075">
        <f>J19</f>
        <v>100</v>
      </c>
      <c r="X19" s="963"/>
      <c r="Y19" s="4876"/>
      <c r="Z19" s="964" t="str">
        <f>Q19</f>
        <v>交通便捷度</v>
      </c>
      <c r="AA19" s="961">
        <f t="shared" si="3"/>
        <v>1</v>
      </c>
      <c r="AB19" s="961">
        <f t="shared" si="4"/>
        <v>1</v>
      </c>
      <c r="AC19" s="961">
        <f t="shared" si="5"/>
        <v>1</v>
      </c>
    </row>
    <row r="20" spans="1:29" ht="15">
      <c r="A20" s="3341"/>
      <c r="B20" s="3416"/>
      <c r="C20" s="3061"/>
      <c r="D20" s="3135"/>
      <c r="E20" s="3090"/>
      <c r="F20" s="4026"/>
      <c r="G20" s="3090"/>
      <c r="H20" s="4026"/>
      <c r="I20" s="3096"/>
      <c r="J20" s="4026"/>
      <c r="K20" s="450"/>
      <c r="L20" s="2153"/>
      <c r="M20" s="2147"/>
      <c r="N20" s="2147"/>
      <c r="O20" s="2205"/>
      <c r="P20" s="5012"/>
      <c r="Q20" s="3276"/>
      <c r="R20" s="4072"/>
      <c r="S20" s="4075"/>
      <c r="T20" s="4072"/>
      <c r="U20" s="4075"/>
      <c r="V20" s="4072"/>
      <c r="W20" s="4075"/>
      <c r="X20" s="963"/>
      <c r="Y20" s="4876"/>
      <c r="Z20" s="964"/>
      <c r="AA20" s="961">
        <v>1</v>
      </c>
      <c r="AB20" s="961">
        <v>1</v>
      </c>
      <c r="AC20" s="961">
        <v>1</v>
      </c>
    </row>
    <row r="21" spans="1:29" ht="28.8">
      <c r="A21" s="3341"/>
      <c r="B21" s="3415" t="s">
        <v>1778</v>
      </c>
      <c r="C21" s="3062">
        <f>估价对象房地状况!G17</f>
        <v>0</v>
      </c>
      <c r="D21" s="3136">
        <v>100</v>
      </c>
      <c r="E21" s="3087"/>
      <c r="F21" s="4028">
        <f>SUMIF(89:89,E22,90:90)-SUMIF(89:89,C22,90:90)+100</f>
        <v>100</v>
      </c>
      <c r="G21" s="3087"/>
      <c r="H21" s="4028">
        <f>SUMIF(89:89,G22,90:90)-SUMIF(89:89,C22,90:90)+100</f>
        <v>100</v>
      </c>
      <c r="I21" s="3087"/>
      <c r="J21" s="4028">
        <f>SUMIF(89:89,I22,90:90)-SUMIF(89:89,C22,90:90)+100</f>
        <v>100</v>
      </c>
      <c r="K21" s="451"/>
      <c r="L21" s="2153"/>
      <c r="M21" s="2147"/>
      <c r="N21" s="2147"/>
      <c r="O21" s="2205"/>
      <c r="P21" s="5012"/>
      <c r="Q21" s="3276" t="str">
        <f t="shared" ref="Q21:Q35" si="8">B21</f>
        <v>区域土地利用方向</v>
      </c>
      <c r="R21" s="4072" t="s">
        <v>13</v>
      </c>
      <c r="S21" s="4075">
        <f>F21</f>
        <v>100</v>
      </c>
      <c r="T21" s="4072" t="s">
        <v>13</v>
      </c>
      <c r="U21" s="4075">
        <f>H21</f>
        <v>100</v>
      </c>
      <c r="V21" s="4072" t="s">
        <v>13</v>
      </c>
      <c r="W21" s="4075">
        <f>J21</f>
        <v>100</v>
      </c>
      <c r="X21" s="963"/>
      <c r="Y21" s="4876"/>
      <c r="Z21" s="964" t="str">
        <f>Q21</f>
        <v>区域土地利用方向</v>
      </c>
      <c r="AA21" s="961">
        <f t="shared" si="3"/>
        <v>1</v>
      </c>
      <c r="AB21" s="961">
        <f t="shared" si="4"/>
        <v>1</v>
      </c>
      <c r="AC21" s="961">
        <f t="shared" si="5"/>
        <v>1</v>
      </c>
    </row>
    <row r="22" spans="1:29" ht="15">
      <c r="A22" s="3345"/>
      <c r="B22" s="3416"/>
      <c r="C22" s="3061"/>
      <c r="D22" s="3135"/>
      <c r="E22" s="3090"/>
      <c r="F22" s="4026"/>
      <c r="G22" s="3090"/>
      <c r="H22" s="4026"/>
      <c r="I22" s="3090"/>
      <c r="J22" s="4026"/>
      <c r="K22" s="528"/>
      <c r="L22" s="2153"/>
      <c r="M22" s="2147"/>
      <c r="N22" s="2147"/>
      <c r="O22" s="2205"/>
      <c r="P22" s="5012"/>
      <c r="Q22" s="3276"/>
      <c r="R22" s="4072"/>
      <c r="S22" s="4075"/>
      <c r="T22" s="4072"/>
      <c r="U22" s="4075"/>
      <c r="V22" s="4072"/>
      <c r="W22" s="4075"/>
      <c r="X22" s="963"/>
      <c r="Y22" s="4876"/>
      <c r="Z22" s="964"/>
      <c r="AA22" s="961"/>
      <c r="AB22" s="961"/>
      <c r="AC22" s="961"/>
    </row>
    <row r="23" spans="1:29" ht="82.8">
      <c r="A23" s="3345"/>
      <c r="B23" s="3415" t="s">
        <v>1828</v>
      </c>
      <c r="C23" s="3062" t="str">
        <f>估价对象房地状况!G18</f>
        <v>该园区内是否有污染型企业，绿化情况，卫生条件，整体环境状况判断</v>
      </c>
      <c r="D23" s="3136">
        <v>100</v>
      </c>
      <c r="E23" s="3087"/>
      <c r="F23" s="4027">
        <f>SUMIF(91:91,E24,92:92)-SUMIF(91:91,C24,92:92)+100</f>
        <v>100</v>
      </c>
      <c r="G23" s="3087"/>
      <c r="H23" s="4027">
        <f>SUMIF(91:91,G24,92:92)-SUMIF(91:91,C24,92:92)+100</f>
        <v>100</v>
      </c>
      <c r="I23" s="3093"/>
      <c r="J23" s="4027">
        <f>SUMIF(91:91,I24,92:92)-SUMIF(91:91,C24,92:92)+100</f>
        <v>100</v>
      </c>
      <c r="K23" s="451"/>
      <c r="L23" s="2153"/>
      <c r="M23" s="2147"/>
      <c r="N23" s="2147"/>
      <c r="O23" s="2205"/>
      <c r="P23" s="5012"/>
      <c r="Q23" s="3276" t="str">
        <f t="shared" si="8"/>
        <v>环境状况</v>
      </c>
      <c r="R23" s="4072" t="s">
        <v>13</v>
      </c>
      <c r="S23" s="4075">
        <f>F23</f>
        <v>100</v>
      </c>
      <c r="T23" s="4072" t="s">
        <v>13</v>
      </c>
      <c r="U23" s="4075">
        <f>H23</f>
        <v>100</v>
      </c>
      <c r="V23" s="4072" t="s">
        <v>13</v>
      </c>
      <c r="W23" s="4075">
        <f>J23</f>
        <v>100</v>
      </c>
      <c r="X23" s="963"/>
      <c r="Y23" s="4876"/>
      <c r="Z23" s="964" t="str">
        <f>Q23</f>
        <v>环境状况</v>
      </c>
      <c r="AA23" s="961">
        <f t="shared" si="3"/>
        <v>1</v>
      </c>
      <c r="AB23" s="961">
        <f t="shared" si="4"/>
        <v>1</v>
      </c>
      <c r="AC23" s="961">
        <f t="shared" si="5"/>
        <v>1</v>
      </c>
    </row>
    <row r="24" spans="1:29" ht="15">
      <c r="A24" s="3345"/>
      <c r="B24" s="3416"/>
      <c r="C24" s="3061"/>
      <c r="D24" s="3135"/>
      <c r="E24" s="3113"/>
      <c r="F24" s="4026"/>
      <c r="G24" s="3113"/>
      <c r="H24" s="4026"/>
      <c r="I24" s="3061"/>
      <c r="J24" s="4026"/>
      <c r="K24" s="450"/>
      <c r="L24" s="2153"/>
      <c r="M24" s="2147"/>
      <c r="N24" s="2147"/>
      <c r="O24" s="2205"/>
      <c r="P24" s="5012"/>
      <c r="Q24" s="3276"/>
      <c r="R24" s="4072"/>
      <c r="S24" s="4075"/>
      <c r="T24" s="4072"/>
      <c r="U24" s="4075"/>
      <c r="V24" s="4072"/>
      <c r="W24" s="4075"/>
      <c r="X24" s="963"/>
      <c r="Y24" s="4876"/>
      <c r="Z24" s="964"/>
      <c r="AA24" s="961">
        <v>1</v>
      </c>
      <c r="AB24" s="961">
        <v>1</v>
      </c>
      <c r="AC24" s="961">
        <v>1</v>
      </c>
    </row>
    <row r="25" spans="1:29" s="49" customFormat="1" ht="41.4">
      <c r="A25" s="3347"/>
      <c r="B25" s="3417" t="s">
        <v>1685</v>
      </c>
      <c r="C25" s="3062" t="str">
        <f>估价对象房地状况!G19</f>
        <v>估价对象所在区域公共配套设施齐备情况</v>
      </c>
      <c r="D25" s="3136">
        <v>100</v>
      </c>
      <c r="E25" s="3087"/>
      <c r="F25" s="4027">
        <f>SUMIF(93:93,E26,94:94)-SUMIF(93:93,C26,94:94)+100</f>
        <v>100</v>
      </c>
      <c r="G25" s="3087"/>
      <c r="H25" s="4027">
        <f>SUMIF(93:93,G26,94:94)-SUMIF(93:93,C26,94:94)+100</f>
        <v>100</v>
      </c>
      <c r="I25" s="3093"/>
      <c r="J25" s="4027">
        <f>SUMIF(93:93,I26,94:94)-SUMIF(93:93,C26,94:94)+100</f>
        <v>100</v>
      </c>
      <c r="K25" s="451"/>
      <c r="L25" s="2148"/>
      <c r="M25" s="2149"/>
      <c r="N25" s="2149"/>
      <c r="O25" s="2203"/>
      <c r="P25" s="5012"/>
      <c r="Q25" s="3273" t="str">
        <f t="shared" si="8"/>
        <v>公共配套设施</v>
      </c>
      <c r="R25" s="4071" t="s">
        <v>13</v>
      </c>
      <c r="S25" s="4074">
        <f>F25</f>
        <v>100</v>
      </c>
      <c r="T25" s="4071" t="s">
        <v>13</v>
      </c>
      <c r="U25" s="4074">
        <f>H25</f>
        <v>100</v>
      </c>
      <c r="V25" s="4071" t="s">
        <v>13</v>
      </c>
      <c r="W25" s="4074">
        <f>J25</f>
        <v>100</v>
      </c>
      <c r="X25" s="504"/>
      <c r="Y25" s="4876"/>
      <c r="Z25" s="28" t="str">
        <f>Q25</f>
        <v>公共配套设施</v>
      </c>
      <c r="AA25" s="961">
        <f>D25/F25</f>
        <v>1</v>
      </c>
      <c r="AB25" s="961">
        <f>D25/H25</f>
        <v>1</v>
      </c>
      <c r="AC25" s="961">
        <f>D25/J25</f>
        <v>1</v>
      </c>
    </row>
    <row r="26" spans="1:29" s="49" customFormat="1" ht="15">
      <c r="A26" s="3347"/>
      <c r="B26" s="3416"/>
      <c r="C26" s="3348"/>
      <c r="D26" s="3135"/>
      <c r="E26" s="3113"/>
      <c r="F26" s="4026"/>
      <c r="G26" s="3113"/>
      <c r="H26" s="4026"/>
      <c r="I26" s="3061"/>
      <c r="J26" s="4026"/>
      <c r="K26" s="450"/>
      <c r="L26" s="2148"/>
      <c r="M26" s="2149"/>
      <c r="N26" s="2149"/>
      <c r="O26" s="2203"/>
      <c r="P26" s="5012"/>
      <c r="Q26" s="3273"/>
      <c r="R26" s="4071"/>
      <c r="S26" s="4074"/>
      <c r="T26" s="4071"/>
      <c r="U26" s="4074"/>
      <c r="V26" s="4071"/>
      <c r="W26" s="4074"/>
      <c r="X26" s="504"/>
      <c r="Y26" s="4876"/>
      <c r="Z26" s="28"/>
      <c r="AA26" s="505">
        <v>1</v>
      </c>
      <c r="AB26" s="505">
        <v>1</v>
      </c>
      <c r="AC26" s="505">
        <v>1</v>
      </c>
    </row>
    <row r="27" spans="1:29" s="49" customFormat="1" ht="41.4">
      <c r="A27" s="3347"/>
      <c r="B27" s="3417" t="s">
        <v>1686</v>
      </c>
      <c r="C27" s="3062" t="str">
        <f>估价对象房地状况!G20</f>
        <v>估价对象所在区域基础设施水平</v>
      </c>
      <c r="D27" s="3136">
        <v>100</v>
      </c>
      <c r="E27" s="3087"/>
      <c r="F27" s="4027">
        <f>SUMIF(95:95,E28,96:96)-SUMIF(95:95,C28,96:96)+100</f>
        <v>100</v>
      </c>
      <c r="G27" s="3087"/>
      <c r="H27" s="4027">
        <f>SUMIF(95:95,G28,96:96)-SUMIF(95:95,C28,96:96)+100</f>
        <v>100</v>
      </c>
      <c r="I27" s="3093"/>
      <c r="J27" s="4027">
        <f>SUMIF(95:95,I28,96:96)-SUMIF(95:95,C28,96:96)+100</f>
        <v>100</v>
      </c>
      <c r="K27" s="451"/>
      <c r="L27" s="2148"/>
      <c r="M27" s="2149"/>
      <c r="N27" s="2149"/>
      <c r="O27" s="2203"/>
      <c r="P27" s="5012"/>
      <c r="Q27" s="3273" t="str">
        <f t="shared" ref="Q27" si="9">B27</f>
        <v>基础设施水平</v>
      </c>
      <c r="R27" s="4071" t="s">
        <v>13</v>
      </c>
      <c r="S27" s="4074">
        <f>F27</f>
        <v>100</v>
      </c>
      <c r="T27" s="4071" t="s">
        <v>13</v>
      </c>
      <c r="U27" s="4074">
        <f>H27</f>
        <v>100</v>
      </c>
      <c r="V27" s="4071" t="s">
        <v>13</v>
      </c>
      <c r="W27" s="4074">
        <f>J27</f>
        <v>100</v>
      </c>
      <c r="X27" s="504"/>
      <c r="Y27" s="4876"/>
      <c r="Z27" s="28" t="str">
        <f>Q27</f>
        <v>基础设施水平</v>
      </c>
      <c r="AA27" s="961">
        <f>D27/F27</f>
        <v>1</v>
      </c>
      <c r="AB27" s="961">
        <f>D27/H27</f>
        <v>1</v>
      </c>
      <c r="AC27" s="961">
        <f>D27/J27</f>
        <v>1</v>
      </c>
    </row>
    <row r="28" spans="1:29" s="49" customFormat="1" ht="15">
      <c r="A28" s="3347"/>
      <c r="B28" s="3416"/>
      <c r="C28" s="3348"/>
      <c r="D28" s="3135"/>
      <c r="E28" s="3364"/>
      <c r="F28" s="4026"/>
      <c r="G28" s="3364"/>
      <c r="H28" s="4026"/>
      <c r="I28" s="3364"/>
      <c r="J28" s="4026"/>
      <c r="K28" s="450"/>
      <c r="L28" s="2148"/>
      <c r="M28" s="2149"/>
      <c r="N28" s="2149"/>
      <c r="O28" s="2203"/>
      <c r="P28" s="5012"/>
      <c r="Q28" s="3273"/>
      <c r="R28" s="4071"/>
      <c r="S28" s="4074"/>
      <c r="T28" s="4071"/>
      <c r="U28" s="4074"/>
      <c r="V28" s="4071"/>
      <c r="W28" s="4074"/>
      <c r="X28" s="504"/>
      <c r="Y28" s="4876"/>
      <c r="Z28" s="28"/>
      <c r="AA28" s="505">
        <v>1</v>
      </c>
      <c r="AB28" s="505">
        <v>1</v>
      </c>
      <c r="AC28" s="505">
        <v>1</v>
      </c>
    </row>
    <row r="29" spans="1:29" ht="15">
      <c r="A29" s="3341"/>
      <c r="B29" s="3416" t="s">
        <v>1687</v>
      </c>
      <c r="C29" s="3078"/>
      <c r="D29" s="3132">
        <v>100</v>
      </c>
      <c r="E29" s="3365"/>
      <c r="F29" s="4029">
        <f>SUMIF(97:97,E29,98:98)-SUMIF(97:97,C29,98:98)+100</f>
        <v>100</v>
      </c>
      <c r="G29" s="3365"/>
      <c r="H29" s="4029">
        <f>SUMIF(97:97,G29,98:98)-SUMIF(97:97,C29,98:98)+100</f>
        <v>100</v>
      </c>
      <c r="I29" s="3365"/>
      <c r="J29" s="4029">
        <f>SUMIF(97:97,I29,98:98)-SUMIF(97:97,C29,98:98)+100</f>
        <v>100</v>
      </c>
      <c r="K29" s="451"/>
      <c r="L29" s="2153"/>
      <c r="M29" s="2147"/>
      <c r="N29" s="2147"/>
      <c r="O29" s="2205"/>
      <c r="P29" s="5012"/>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876"/>
      <c r="Z29" s="964" t="str">
        <f t="shared" ref="Z29:Z42" si="13">Q29</f>
        <v>临街状况</v>
      </c>
      <c r="AA29" s="961">
        <f t="shared" si="3"/>
        <v>1</v>
      </c>
      <c r="AB29" s="961">
        <f t="shared" si="4"/>
        <v>1</v>
      </c>
      <c r="AC29" s="961">
        <f t="shared" si="5"/>
        <v>1</v>
      </c>
    </row>
    <row r="30" spans="1:29" ht="28.8">
      <c r="A30" s="3341"/>
      <c r="B30" s="3417" t="s">
        <v>1722</v>
      </c>
      <c r="C30" s="3423">
        <f>估价对象房地状况!G22</f>
        <v>0</v>
      </c>
      <c r="D30" s="3136">
        <v>100</v>
      </c>
      <c r="E30" s="3087"/>
      <c r="F30" s="4027">
        <f>SUMIF(99:99,E31,100:100)-SUMIF(99:99,C31,100:100)+100</f>
        <v>100</v>
      </c>
      <c r="G30" s="3087"/>
      <c r="H30" s="4027">
        <f>SUMIF(99:99,G31,100:100)-SUMIF(99:99,C31,100:100)+100</f>
        <v>100</v>
      </c>
      <c r="I30" s="3093"/>
      <c r="J30" s="4027">
        <f>SUMIF(99:99,I31,100:100)-SUMIF(99:99,C31,100:100)+100</f>
        <v>100</v>
      </c>
      <c r="K30" s="451"/>
      <c r="L30" s="2153"/>
      <c r="M30" s="2147"/>
      <c r="N30" s="2147"/>
      <c r="O30" s="2205"/>
      <c r="P30" s="5012"/>
      <c r="Q30" s="3276" t="str">
        <f t="shared" si="8"/>
        <v>毗邻道路的类型与等级</v>
      </c>
      <c r="R30" s="4072" t="s">
        <v>13</v>
      </c>
      <c r="S30" s="4075">
        <f t="shared" si="10"/>
        <v>100</v>
      </c>
      <c r="T30" s="4072" t="s">
        <v>13</v>
      </c>
      <c r="U30" s="4075">
        <f t="shared" si="11"/>
        <v>100</v>
      </c>
      <c r="V30" s="4072" t="s">
        <v>13</v>
      </c>
      <c r="W30" s="4075">
        <f t="shared" si="12"/>
        <v>100</v>
      </c>
      <c r="X30" s="963"/>
      <c r="Y30" s="4876"/>
      <c r="Z30" s="964" t="str">
        <f t="shared" si="13"/>
        <v>毗邻道路的类型与等级</v>
      </c>
      <c r="AA30" s="961">
        <f t="shared" si="3"/>
        <v>1</v>
      </c>
      <c r="AB30" s="961">
        <f t="shared" si="4"/>
        <v>1</v>
      </c>
      <c r="AC30" s="961">
        <f t="shared" si="5"/>
        <v>1</v>
      </c>
    </row>
    <row r="31" spans="1:29" ht="15">
      <c r="A31" s="3341"/>
      <c r="B31" s="3416"/>
      <c r="C31" s="3061"/>
      <c r="D31" s="3135"/>
      <c r="E31" s="3113"/>
      <c r="F31" s="4026"/>
      <c r="G31" s="3113"/>
      <c r="H31" s="4026"/>
      <c r="I31" s="3113"/>
      <c r="J31" s="4026"/>
      <c r="K31" s="409"/>
      <c r="L31" s="2153"/>
      <c r="M31" s="2147"/>
      <c r="N31" s="2147"/>
      <c r="O31" s="2205"/>
      <c r="P31" s="5012"/>
      <c r="Q31" s="3276"/>
      <c r="R31" s="4072"/>
      <c r="S31" s="4075"/>
      <c r="T31" s="4072"/>
      <c r="U31" s="4075"/>
      <c r="V31" s="4072"/>
      <c r="W31" s="4075"/>
      <c r="X31" s="963"/>
      <c r="Y31" s="4876"/>
      <c r="Z31" s="964"/>
      <c r="AA31" s="961">
        <v>1</v>
      </c>
      <c r="AB31" s="961">
        <v>1</v>
      </c>
      <c r="AC31" s="961">
        <v>1</v>
      </c>
    </row>
    <row r="32" spans="1:29" ht="15">
      <c r="A32" s="3341"/>
      <c r="B32" s="3418" t="s">
        <v>1780</v>
      </c>
      <c r="C32" s="3346">
        <f>估价对象房地状况!G23</f>
        <v>0</v>
      </c>
      <c r="D32" s="3132">
        <v>100</v>
      </c>
      <c r="E32" s="3365"/>
      <c r="F32" s="4029">
        <f>SUMIF(101:101,E32,102:102)-SUMIF(101:101,C32,102:102)+100</f>
        <v>100</v>
      </c>
      <c r="G32" s="3365"/>
      <c r="H32" s="4029">
        <f>SUMIF(101:101,G32,102:102)-SUMIF(101:101,C32,102:102)+100</f>
        <v>100</v>
      </c>
      <c r="I32" s="3365"/>
      <c r="J32" s="4029">
        <f>SUMIF(101:101,I32,102:102)-SUMIF(101:101,C32,102:102)+100</f>
        <v>100</v>
      </c>
      <c r="K32" s="408"/>
      <c r="L32" s="2153"/>
      <c r="M32" s="2147"/>
      <c r="N32" s="2147"/>
      <c r="O32" s="2205"/>
      <c r="P32" s="5012"/>
      <c r="Q32" s="3276" t="str">
        <f t="shared" si="8"/>
        <v>土地级别</v>
      </c>
      <c r="R32" s="4072" t="s">
        <v>13</v>
      </c>
      <c r="S32" s="4075">
        <f t="shared" si="10"/>
        <v>100</v>
      </c>
      <c r="T32" s="4072" t="s">
        <v>13</v>
      </c>
      <c r="U32" s="4075">
        <f t="shared" si="11"/>
        <v>100</v>
      </c>
      <c r="V32" s="4072" t="s">
        <v>13</v>
      </c>
      <c r="W32" s="4075">
        <f t="shared" si="12"/>
        <v>100</v>
      </c>
      <c r="X32" s="963"/>
      <c r="Y32" s="4876"/>
      <c r="Z32" s="964" t="str">
        <f t="shared" si="13"/>
        <v>土地级别</v>
      </c>
      <c r="AA32" s="961">
        <f t="shared" si="3"/>
        <v>1</v>
      </c>
      <c r="AB32" s="961">
        <f t="shared" si="4"/>
        <v>1</v>
      </c>
      <c r="AC32" s="961">
        <f t="shared" si="5"/>
        <v>1</v>
      </c>
    </row>
    <row r="33" spans="1:31" ht="15">
      <c r="A33" s="3345"/>
      <c r="B33" s="3419">
        <v>111</v>
      </c>
      <c r="C33" s="3349"/>
      <c r="D33" s="3132">
        <v>100</v>
      </c>
      <c r="E33" s="3366"/>
      <c r="F33" s="4029">
        <f>SUMIF(103:103,E33,104:104)-SUMIF(103:103,C33,104:104)+100</f>
        <v>100</v>
      </c>
      <c r="G33" s="3366"/>
      <c r="H33" s="4029">
        <f>SUMIF(103:103,G33,104:104)-SUMIF(103:103,C33,104:104)+100</f>
        <v>100</v>
      </c>
      <c r="I33" s="3363"/>
      <c r="J33" s="4029">
        <f>SUMIF(103:103,I33,104:104)-SUMIF(103:103,C33,104:104)+100</f>
        <v>100</v>
      </c>
      <c r="K33" s="409"/>
      <c r="L33" s="2153"/>
      <c r="M33" s="2147"/>
      <c r="N33" s="2147"/>
      <c r="O33" s="2205"/>
      <c r="P33" s="5012"/>
      <c r="Q33" s="3276">
        <f t="shared" si="8"/>
        <v>111</v>
      </c>
      <c r="R33" s="4072" t="s">
        <v>13</v>
      </c>
      <c r="S33" s="4075">
        <f t="shared" si="10"/>
        <v>100</v>
      </c>
      <c r="T33" s="4072" t="s">
        <v>13</v>
      </c>
      <c r="U33" s="4075">
        <f t="shared" si="11"/>
        <v>100</v>
      </c>
      <c r="V33" s="4072" t="s">
        <v>13</v>
      </c>
      <c r="W33" s="4075">
        <f t="shared" si="12"/>
        <v>100</v>
      </c>
      <c r="X33" s="963"/>
      <c r="Y33" s="4876"/>
      <c r="Z33" s="964">
        <f t="shared" si="13"/>
        <v>111</v>
      </c>
      <c r="AA33" s="961">
        <f t="shared" si="3"/>
        <v>1</v>
      </c>
      <c r="AB33" s="961">
        <f t="shared" si="4"/>
        <v>1</v>
      </c>
      <c r="AC33" s="961">
        <f t="shared" si="5"/>
        <v>1</v>
      </c>
    </row>
    <row r="34" spans="1:31" ht="15">
      <c r="A34" s="3350"/>
      <c r="B34" s="3420">
        <v>111</v>
      </c>
      <c r="C34" s="3349"/>
      <c r="D34" s="3132">
        <v>100</v>
      </c>
      <c r="E34" s="3366"/>
      <c r="F34" s="4029">
        <f>SUMIF(105:105,E35,106:106)-SUMIF(105:105,C35,106:106)+100</f>
        <v>100</v>
      </c>
      <c r="G34" s="3366"/>
      <c r="H34" s="4029">
        <f>SUMIF(105:105,G34,106:106)-SUMIF(105:105,C34,106:106)+100</f>
        <v>100</v>
      </c>
      <c r="I34" s="3349"/>
      <c r="J34" s="4029">
        <f>SUMIF(105:105,I34,106:106)-SUMIF(105:105,C34,106:106)+100</f>
        <v>100</v>
      </c>
      <c r="K34" s="409"/>
      <c r="L34" s="2153"/>
      <c r="M34" s="2147"/>
      <c r="N34" s="2147"/>
      <c r="O34" s="2205"/>
      <c r="P34" s="5013" t="s">
        <v>1603</v>
      </c>
      <c r="Q34" s="3276">
        <f t="shared" si="8"/>
        <v>111</v>
      </c>
      <c r="R34" s="4072" t="s">
        <v>13</v>
      </c>
      <c r="S34" s="4075">
        <f t="shared" si="10"/>
        <v>100</v>
      </c>
      <c r="T34" s="4072" t="s">
        <v>13</v>
      </c>
      <c r="U34" s="4075">
        <f t="shared" si="11"/>
        <v>100</v>
      </c>
      <c r="V34" s="4072" t="s">
        <v>13</v>
      </c>
      <c r="W34" s="4075">
        <f t="shared" si="12"/>
        <v>100</v>
      </c>
      <c r="X34" s="963"/>
      <c r="Y34" s="4878" t="s">
        <v>1603</v>
      </c>
      <c r="Z34" s="964">
        <f t="shared" si="13"/>
        <v>111</v>
      </c>
      <c r="AA34" s="961">
        <f t="shared" si="3"/>
        <v>1</v>
      </c>
      <c r="AB34" s="961">
        <f t="shared" si="4"/>
        <v>1</v>
      </c>
      <c r="AC34" s="961">
        <f t="shared" si="5"/>
        <v>1</v>
      </c>
    </row>
    <row r="35" spans="1:31" s="285" customFormat="1" ht="15.6"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2"/>
      <c r="M35" s="2154"/>
      <c r="N35" s="2154"/>
      <c r="O35" s="2206"/>
      <c r="P35" s="5014"/>
      <c r="Q35" s="3276">
        <f t="shared" si="8"/>
        <v>111</v>
      </c>
      <c r="R35" s="4073" t="s">
        <v>13</v>
      </c>
      <c r="S35" s="4076">
        <f t="shared" si="10"/>
        <v>100</v>
      </c>
      <c r="T35" s="4073" t="s">
        <v>13</v>
      </c>
      <c r="U35" s="4076">
        <f t="shared" si="11"/>
        <v>100</v>
      </c>
      <c r="V35" s="4073" t="s">
        <v>13</v>
      </c>
      <c r="W35" s="4076">
        <f t="shared" si="12"/>
        <v>100</v>
      </c>
      <c r="X35" s="507"/>
      <c r="Y35" s="4878"/>
      <c r="Z35" s="508">
        <f t="shared" si="13"/>
        <v>111</v>
      </c>
      <c r="AA35" s="961">
        <f t="shared" si="3"/>
        <v>1</v>
      </c>
      <c r="AB35" s="961">
        <f t="shared" si="4"/>
        <v>1</v>
      </c>
      <c r="AC35" s="961">
        <f t="shared" si="5"/>
        <v>1</v>
      </c>
    </row>
    <row r="36" spans="1:31" ht="15">
      <c r="A36" s="3344" t="s">
        <v>1601</v>
      </c>
      <c r="B36" s="3039" t="s">
        <v>1781</v>
      </c>
      <c r="C36" s="3356"/>
      <c r="D36" s="3139">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3"/>
      <c r="M36" s="2147"/>
      <c r="N36" s="2147"/>
      <c r="O36" s="2205"/>
      <c r="P36" s="5014"/>
      <c r="Q36" s="3276" t="str">
        <f>B36</f>
        <v>宗地面积</v>
      </c>
      <c r="R36" s="4072" t="s">
        <v>13</v>
      </c>
      <c r="S36" s="4075" t="e">
        <f t="shared" si="10"/>
        <v>#N/A</v>
      </c>
      <c r="T36" s="4072" t="s">
        <v>13</v>
      </c>
      <c r="U36" s="4075" t="e">
        <f t="shared" si="11"/>
        <v>#N/A</v>
      </c>
      <c r="V36" s="4072" t="s">
        <v>13</v>
      </c>
      <c r="W36" s="4075" t="e">
        <f t="shared" si="12"/>
        <v>#N/A</v>
      </c>
      <c r="X36" s="963"/>
      <c r="Y36" s="4878"/>
      <c r="Z36" s="964" t="str">
        <f t="shared" si="13"/>
        <v>宗地面积</v>
      </c>
      <c r="AA36" s="961" t="e">
        <f t="shared" si="3"/>
        <v>#N/A</v>
      </c>
      <c r="AB36" s="961" t="e">
        <f t="shared" si="4"/>
        <v>#N/A</v>
      </c>
      <c r="AC36" s="961" t="e">
        <f t="shared" si="5"/>
        <v>#N/A</v>
      </c>
    </row>
    <row r="37" spans="1:31" ht="15">
      <c r="A37" s="3355"/>
      <c r="B37" s="3275" t="s">
        <v>1782</v>
      </c>
      <c r="C37" s="3068"/>
      <c r="D37" s="3132">
        <v>100</v>
      </c>
      <c r="E37" s="3068"/>
      <c r="F37" s="4029">
        <f>SUMIF(112:112,E37,113:113)-SUMIF(112:112,C37,113:113)+100</f>
        <v>100</v>
      </c>
      <c r="G37" s="3068"/>
      <c r="H37" s="4029">
        <f>SUMIF(112:112,G37,113:113)-SUMIF(112:112,C37,113:113)+100</f>
        <v>100</v>
      </c>
      <c r="I37" s="3068"/>
      <c r="J37" s="4029">
        <f>SUMIF(112:112,I37,113:113)-SUMIF(112:112,C37,113:113)+100</f>
        <v>100</v>
      </c>
      <c r="K37" s="408"/>
      <c r="L37" s="2153"/>
      <c r="M37" s="2147"/>
      <c r="N37" s="2147"/>
      <c r="O37" s="2205"/>
      <c r="P37" s="5014"/>
      <c r="Q37" s="3276" t="str">
        <f t="shared" ref="Q37:Q42" si="14">B37</f>
        <v>宗地形状</v>
      </c>
      <c r="R37" s="4072" t="s">
        <v>13</v>
      </c>
      <c r="S37" s="4075">
        <f t="shared" si="10"/>
        <v>100</v>
      </c>
      <c r="T37" s="4072" t="s">
        <v>13</v>
      </c>
      <c r="U37" s="4075">
        <f t="shared" si="11"/>
        <v>100</v>
      </c>
      <c r="V37" s="4072" t="s">
        <v>13</v>
      </c>
      <c r="W37" s="4075">
        <f t="shared" si="12"/>
        <v>100</v>
      </c>
      <c r="X37" s="963"/>
      <c r="Y37" s="4878"/>
      <c r="Z37" s="964" t="str">
        <f t="shared" si="13"/>
        <v>宗地形状</v>
      </c>
      <c r="AA37" s="961">
        <f t="shared" si="3"/>
        <v>1</v>
      </c>
      <c r="AB37" s="961">
        <f t="shared" si="4"/>
        <v>1</v>
      </c>
      <c r="AC37" s="961">
        <f t="shared" si="5"/>
        <v>1</v>
      </c>
    </row>
    <row r="38" spans="1:31" s="49" customFormat="1" ht="15">
      <c r="A38" s="3357"/>
      <c r="B38" s="3275" t="s">
        <v>1784</v>
      </c>
      <c r="C38" s="3358"/>
      <c r="D38" s="3130">
        <v>100</v>
      </c>
      <c r="E38" s="3358"/>
      <c r="F38" s="4029">
        <f>SUMIF(114:114,E38,115:115)-SUMIF(114:114,C38,115:115)+100</f>
        <v>100</v>
      </c>
      <c r="G38" s="3358"/>
      <c r="H38" s="4029">
        <f>SUMIF(114:114,G38,115:115)-SUMIF(114:114,C38,115:115)+100</f>
        <v>100</v>
      </c>
      <c r="I38" s="3358"/>
      <c r="J38" s="4029">
        <f>SUMIF(114:114,I38,115:115)-SUMIF(114:114,C38,115:115)+100</f>
        <v>100</v>
      </c>
      <c r="K38" s="408"/>
      <c r="L38" s="2148"/>
      <c r="M38" s="2149"/>
      <c r="N38" s="2149"/>
      <c r="O38" s="2203"/>
      <c r="P38" s="5014"/>
      <c r="Q38" s="3276" t="str">
        <f t="shared" si="14"/>
        <v>宗地开发程度</v>
      </c>
      <c r="R38" s="4071" t="s">
        <v>13</v>
      </c>
      <c r="S38" s="4074">
        <f t="shared" si="10"/>
        <v>100</v>
      </c>
      <c r="T38" s="4071" t="s">
        <v>13</v>
      </c>
      <c r="U38" s="4074">
        <f t="shared" si="11"/>
        <v>100</v>
      </c>
      <c r="V38" s="4071" t="s">
        <v>13</v>
      </c>
      <c r="W38" s="4074">
        <f t="shared" si="12"/>
        <v>100</v>
      </c>
      <c r="X38" s="504"/>
      <c r="Y38" s="4878"/>
      <c r="Z38" s="28" t="str">
        <f t="shared" si="13"/>
        <v>宗地开发程度</v>
      </c>
      <c r="AA38" s="505">
        <f t="shared" si="3"/>
        <v>1</v>
      </c>
      <c r="AB38" s="505">
        <f t="shared" si="4"/>
        <v>1</v>
      </c>
      <c r="AC38" s="505">
        <f t="shared" si="5"/>
        <v>1</v>
      </c>
    </row>
    <row r="39" spans="1:31" ht="15">
      <c r="A39" s="3355"/>
      <c r="B39" s="3275" t="s">
        <v>1785</v>
      </c>
      <c r="C39" s="3068"/>
      <c r="D39" s="3132">
        <v>100</v>
      </c>
      <c r="E39" s="3068"/>
      <c r="F39" s="4029">
        <f>SUMIF(116:116,E39,117:117)-SUMIF(116:116,C39,117:117)+100</f>
        <v>100</v>
      </c>
      <c r="G39" s="3068"/>
      <c r="H39" s="4029">
        <f>SUMIF(116:116,G39,117:117)-SUMIF(116:116,C39,117:117)+100</f>
        <v>100</v>
      </c>
      <c r="I39" s="3068"/>
      <c r="J39" s="4029">
        <f>SUMIF(116:116,I39,117:117)-SUMIF(116:116,C39,117:117)+100</f>
        <v>100</v>
      </c>
      <c r="K39" s="408"/>
      <c r="L39" s="2153"/>
      <c r="M39" s="2147"/>
      <c r="N39" s="2147"/>
      <c r="O39" s="2205"/>
      <c r="P39" s="5014" t="s">
        <v>1603</v>
      </c>
      <c r="Q39" s="3276" t="str">
        <f t="shared" si="14"/>
        <v>工程地质条件</v>
      </c>
      <c r="R39" s="4072" t="s">
        <v>13</v>
      </c>
      <c r="S39" s="4075">
        <f t="shared" si="10"/>
        <v>100</v>
      </c>
      <c r="T39" s="4072" t="s">
        <v>13</v>
      </c>
      <c r="U39" s="4075">
        <f t="shared" si="11"/>
        <v>100</v>
      </c>
      <c r="V39" s="4072" t="s">
        <v>13</v>
      </c>
      <c r="W39" s="4075">
        <f t="shared" si="12"/>
        <v>100</v>
      </c>
      <c r="X39" s="963"/>
      <c r="Y39" s="4878" t="s">
        <v>1603</v>
      </c>
      <c r="Z39" s="964" t="str">
        <f t="shared" si="13"/>
        <v>工程地质条件</v>
      </c>
      <c r="AA39" s="961">
        <f t="shared" si="3"/>
        <v>1</v>
      </c>
      <c r="AB39" s="961">
        <f t="shared" si="4"/>
        <v>1</v>
      </c>
      <c r="AC39" s="961">
        <f t="shared" si="5"/>
        <v>1</v>
      </c>
    </row>
    <row r="40" spans="1:31" ht="15">
      <c r="A40" s="3355"/>
      <c r="B40" s="3351">
        <v>111</v>
      </c>
      <c r="C40" s="3349"/>
      <c r="D40" s="3132">
        <v>100</v>
      </c>
      <c r="E40" s="3349"/>
      <c r="F40" s="4029">
        <f>SUMIF(118:118,E40,119:119)-SUMIF(118:118,C40,119:119)+100</f>
        <v>100</v>
      </c>
      <c r="G40" s="3349"/>
      <c r="H40" s="4029">
        <f>SUMIF(118:118,G40,119:119)-SUMIF(118:118,C40,119:119)+100</f>
        <v>100</v>
      </c>
      <c r="I40" s="3363"/>
      <c r="J40" s="4029">
        <f>SUMIF(118:118,I40,119:119)-SUMIF(118:118,C40,119:119)+100</f>
        <v>100</v>
      </c>
      <c r="K40" s="409"/>
      <c r="L40" s="2153"/>
      <c r="M40" s="2147"/>
      <c r="N40" s="2147"/>
      <c r="O40" s="2205"/>
      <c r="P40" s="5014"/>
      <c r="Q40" s="3276">
        <f t="shared" si="14"/>
        <v>111</v>
      </c>
      <c r="R40" s="4072" t="s">
        <v>13</v>
      </c>
      <c r="S40" s="4075">
        <f t="shared" si="10"/>
        <v>100</v>
      </c>
      <c r="T40" s="4072" t="s">
        <v>13</v>
      </c>
      <c r="U40" s="4075">
        <f t="shared" si="11"/>
        <v>100</v>
      </c>
      <c r="V40" s="4072" t="s">
        <v>13</v>
      </c>
      <c r="W40" s="4075">
        <f t="shared" si="12"/>
        <v>100</v>
      </c>
      <c r="X40" s="963"/>
      <c r="Y40" s="4878"/>
      <c r="Z40" s="964">
        <f t="shared" si="13"/>
        <v>111</v>
      </c>
      <c r="AA40" s="961">
        <f t="shared" si="3"/>
        <v>1</v>
      </c>
      <c r="AB40" s="961">
        <f t="shared" si="4"/>
        <v>1</v>
      </c>
      <c r="AC40" s="961">
        <f t="shared" si="5"/>
        <v>1</v>
      </c>
    </row>
    <row r="41" spans="1:31" ht="15">
      <c r="A41" s="3355"/>
      <c r="B41" s="3351">
        <v>111</v>
      </c>
      <c r="C41" s="3349"/>
      <c r="D41" s="3132">
        <v>100</v>
      </c>
      <c r="E41" s="3349"/>
      <c r="F41" s="4029">
        <f>SUMIF(120:120,E41,121:121)-SUMIF(120:120,C41,121:121)+100</f>
        <v>100</v>
      </c>
      <c r="G41" s="3349"/>
      <c r="H41" s="4029">
        <f>SUMIF(120:120,G41,121:121)-SUMIF(120:120,C41,121:121)+100</f>
        <v>100</v>
      </c>
      <c r="I41" s="3363"/>
      <c r="J41" s="4029">
        <f>SUMIF(120:120,I41,121:121)-SUMIF(120:120,C41,121:121)+100</f>
        <v>100</v>
      </c>
      <c r="K41" s="409"/>
      <c r="L41" s="2153"/>
      <c r="M41" s="2147"/>
      <c r="N41" s="2147"/>
      <c r="O41" s="2205"/>
      <c r="P41" s="5014"/>
      <c r="Q41" s="3276">
        <f t="shared" si="14"/>
        <v>111</v>
      </c>
      <c r="R41" s="4072" t="s">
        <v>13</v>
      </c>
      <c r="S41" s="4075">
        <f t="shared" si="10"/>
        <v>100</v>
      </c>
      <c r="T41" s="4072" t="s">
        <v>13</v>
      </c>
      <c r="U41" s="4075">
        <f t="shared" si="11"/>
        <v>100</v>
      </c>
      <c r="V41" s="4072" t="s">
        <v>13</v>
      </c>
      <c r="W41" s="4075">
        <f t="shared" si="12"/>
        <v>100</v>
      </c>
      <c r="X41" s="963"/>
      <c r="Y41" s="4878"/>
      <c r="Z41" s="964">
        <f t="shared" si="13"/>
        <v>111</v>
      </c>
      <c r="AA41" s="961">
        <f t="shared" si="3"/>
        <v>1</v>
      </c>
      <c r="AB41" s="961">
        <f t="shared" si="4"/>
        <v>1</v>
      </c>
      <c r="AC41" s="961">
        <f t="shared" si="5"/>
        <v>1</v>
      </c>
    </row>
    <row r="42" spans="1:31" s="285" customFormat="1" ht="15.6"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2"/>
      <c r="M42" s="2154"/>
      <c r="N42" s="2154"/>
      <c r="O42" s="2206"/>
      <c r="P42" s="5014"/>
      <c r="Q42" s="3276">
        <f t="shared" si="14"/>
        <v>111</v>
      </c>
      <c r="R42" s="4073" t="s">
        <v>13</v>
      </c>
      <c r="S42" s="4076">
        <f t="shared" si="10"/>
        <v>100</v>
      </c>
      <c r="T42" s="4073" t="s">
        <v>13</v>
      </c>
      <c r="U42" s="4076">
        <f t="shared" si="11"/>
        <v>100</v>
      </c>
      <c r="V42" s="4073" t="s">
        <v>13</v>
      </c>
      <c r="W42" s="4076">
        <f t="shared" si="12"/>
        <v>100</v>
      </c>
      <c r="X42" s="507"/>
      <c r="Y42" s="4878"/>
      <c r="Z42" s="508">
        <f t="shared" si="13"/>
        <v>111</v>
      </c>
      <c r="AA42" s="961">
        <f t="shared" si="3"/>
        <v>1</v>
      </c>
      <c r="AB42" s="961">
        <f t="shared" si="4"/>
        <v>1</v>
      </c>
      <c r="AC42" s="961">
        <f t="shared" si="5"/>
        <v>1</v>
      </c>
    </row>
    <row r="43" spans="1:31" ht="14.4">
      <c r="A43" s="292" t="s">
        <v>1751</v>
      </c>
      <c r="B43" s="1536" t="s">
        <v>1829</v>
      </c>
      <c r="C43" s="455" t="s">
        <v>0</v>
      </c>
      <c r="D43" s="3424"/>
      <c r="E43" s="3457"/>
      <c r="F43" s="3401"/>
      <c r="G43" s="3458"/>
      <c r="H43" s="3460"/>
      <c r="I43" s="3457"/>
      <c r="J43" s="3402"/>
      <c r="K43" s="3104"/>
      <c r="L43" s="2155"/>
      <c r="M43" s="2147"/>
      <c r="N43" s="2147"/>
      <c r="O43" s="2156"/>
      <c r="P43" s="4954" t="str">
        <f>A43</f>
        <v>成交单价</v>
      </c>
      <c r="Q43" s="4954"/>
      <c r="R43" s="4955">
        <f>E43</f>
        <v>0</v>
      </c>
      <c r="S43" s="4955"/>
      <c r="T43" s="4955">
        <f>G43</f>
        <v>0</v>
      </c>
      <c r="U43" s="4955"/>
      <c r="V43" s="4955">
        <f>I43</f>
        <v>0</v>
      </c>
      <c r="W43" s="4955"/>
      <c r="X43" s="493"/>
      <c r="Y43" s="509"/>
      <c r="Z43" s="493"/>
      <c r="AA43" s="493"/>
      <c r="AB43" s="493"/>
      <c r="AC43" s="493"/>
    </row>
    <row r="44" spans="1:31" ht="15" thickBot="1">
      <c r="A44" s="295" t="s">
        <v>1700</v>
      </c>
      <c r="B44" s="456"/>
      <c r="C44" s="4048" t="e">
        <f>R45</f>
        <v>#DIV/0!</v>
      </c>
      <c r="D44" s="4197" t="s">
        <v>2040</v>
      </c>
      <c r="E44" s="4048" t="e">
        <f>R44</f>
        <v>#DIV/0!</v>
      </c>
      <c r="F44" s="3042"/>
      <c r="G44" s="4037" t="e">
        <f>T44</f>
        <v>#DIV/0!</v>
      </c>
      <c r="H44" s="3042"/>
      <c r="I44" s="4048" t="e">
        <f>V44</f>
        <v>#DIV/0!</v>
      </c>
      <c r="J44" s="3042"/>
      <c r="K44" s="3097">
        <f>F44+H44+J44</f>
        <v>0</v>
      </c>
      <c r="L44" s="2155"/>
      <c r="M44" s="2147"/>
      <c r="N44" s="2147"/>
      <c r="O44" s="2156"/>
      <c r="P44" s="4954" t="str">
        <f>A44</f>
        <v>比较价值（元/平方米）</v>
      </c>
      <c r="Q44" s="4954"/>
      <c r="R44" s="4955" t="e">
        <f>ROUND(PRODUCT(R43,AA9:AA42),0)</f>
        <v>#DIV/0!</v>
      </c>
      <c r="S44" s="4955"/>
      <c r="T44" s="4955" t="e">
        <f>ROUND(PRODUCT(T43,AB9:AB42),0)</f>
        <v>#DIV/0!</v>
      </c>
      <c r="U44" s="4955"/>
      <c r="V44" s="4955" t="e">
        <f>ROUND(PRODUCT(V43,AC9:AC42),0)</f>
        <v>#DIV/0!</v>
      </c>
      <c r="W44" s="4955"/>
      <c r="X44" s="493"/>
      <c r="Y44" s="493"/>
      <c r="Z44" s="493"/>
      <c r="AA44" s="493"/>
      <c r="AB44" s="493"/>
      <c r="AC44" s="493"/>
    </row>
    <row r="45" spans="1:31" ht="15" thickBot="1">
      <c r="A45" s="297" t="s">
        <v>1701</v>
      </c>
      <c r="B45" s="298"/>
      <c r="C45" s="4049" t="e">
        <f>R45</f>
        <v>#DIV/0!</v>
      </c>
      <c r="D45" s="3403"/>
      <c r="E45" s="3403"/>
      <c r="F45" s="3403"/>
      <c r="G45" s="3403"/>
      <c r="H45" s="3403"/>
      <c r="I45" s="3403"/>
      <c r="J45" s="3403"/>
      <c r="K45" s="3425"/>
      <c r="L45" s="2155"/>
      <c r="M45" s="2147"/>
      <c r="N45" s="2147"/>
      <c r="O45" s="2156"/>
      <c r="P45" s="4951" t="str">
        <f>A45</f>
        <v>估价对象XX用房的比较价值（楼面单价，元/平方米）</v>
      </c>
      <c r="Q45" s="4952"/>
      <c r="R45" s="4953" t="e">
        <f>ROUND(IF(D44="简单平均",AVERAGE(R44:W44),R44*F44+T44*H44+V44*J44),0)</f>
        <v>#DIV/0!</v>
      </c>
      <c r="S45" s="4953"/>
      <c r="T45" s="4953"/>
      <c r="U45" s="4953"/>
      <c r="V45" s="4953"/>
      <c r="W45" s="4953"/>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1788</v>
      </c>
      <c r="B52" s="458" t="s">
        <v>1789</v>
      </c>
      <c r="C52" s="1537" t="s">
        <v>1790</v>
      </c>
      <c r="D52" s="1538" t="s">
        <v>1791</v>
      </c>
      <c r="E52" s="459" t="s">
        <v>1792</v>
      </c>
      <c r="F52" s="460" t="s">
        <v>1793</v>
      </c>
      <c r="G52" s="4883" t="s">
        <v>1794</v>
      </c>
      <c r="H52" s="5031"/>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89" t="e">
        <f>C45</f>
        <v>#DIV/0!</v>
      </c>
      <c r="C53" s="3336">
        <v>1</v>
      </c>
      <c r="D53" s="3313">
        <v>1</v>
      </c>
      <c r="E53" s="3312">
        <f>'数据-汇总表'!E8+'数据-汇总表'!E9</f>
        <v>0</v>
      </c>
      <c r="F53" s="3315" t="e">
        <f t="shared" ref="F53:F62" si="15">ROUND(B53*E53/10000,0)</f>
        <v>#DIV/0!</v>
      </c>
      <c r="G53" s="5032"/>
      <c r="H53" s="4870"/>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8">
        <f>SUMIF(修正!A59:A70,H54,修正!B59:B70)</f>
        <v>0</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8">
        <f>SUMIF(修正!A59:A70,H55,修正!C59:C70)</f>
        <v>0</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8">
        <f>SUMIF(修正!A59:A70,H56,修正!D59:D70)</f>
        <v>0</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89"/>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89" t="e">
        <f t="shared" si="17"/>
        <v>#DIV/0!</v>
      </c>
      <c r="C60" s="3311">
        <f t="shared" si="16"/>
        <v>0.15</v>
      </c>
      <c r="D60" s="3314">
        <v>0.25</v>
      </c>
      <c r="E60" s="3317">
        <f>'数据-汇总表'!E13</f>
        <v>42.16</v>
      </c>
      <c r="F60" s="3315" t="e">
        <f t="shared" si="15"/>
        <v>#DIV/0!</v>
      </c>
      <c r="G60" s="3327" t="s">
        <v>1807</v>
      </c>
      <c r="H60" s="3320" t="str">
        <f>IF(G60="商业",项目基本情况!B37,IF(G60="办公",项目基本情况!C37,IF(G60="住宅",项目基本情况!D37,项目基本情况!E37)))</f>
        <v>七级</v>
      </c>
      <c r="I60" s="2968">
        <f>SUMIF(修正!A59:A70,H60,修正!G59:G70)</f>
        <v>0.15</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8">
        <f>SUMIF(修正!A59:A70,H61,修正!G59:G70)</f>
        <v>0</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1530</v>
      </c>
      <c r="B1" s="832"/>
      <c r="C1" s="833"/>
      <c r="D1" s="831"/>
      <c r="E1" s="2225"/>
      <c r="F1" s="2225"/>
      <c r="G1" s="2104"/>
      <c r="H1" s="2225"/>
      <c r="I1" s="2225"/>
      <c r="J1" s="2225"/>
      <c r="K1" s="2226">
        <f>MATCH(C1,'数据-取费表'!A6:A16,0)+5</f>
        <v>7</v>
      </c>
    </row>
    <row r="2" spans="1:33" ht="18" customHeight="1">
      <c r="A2" s="100" t="s">
        <v>1431</v>
      </c>
      <c r="B2" s="2757">
        <f ca="1">IF(D2="含税",C37,C36)</f>
        <v>-1</v>
      </c>
      <c r="C2" s="175" t="s">
        <v>1531</v>
      </c>
      <c r="D2" s="3586"/>
      <c r="E2" s="2225"/>
      <c r="G2" s="2225"/>
      <c r="H2" s="2225"/>
      <c r="I2" s="2225"/>
      <c r="J2" s="2225"/>
      <c r="K2" s="2225"/>
    </row>
    <row r="3" spans="1:33" ht="18" customHeight="1">
      <c r="A3" s="102" t="s">
        <v>1433</v>
      </c>
      <c r="B3" s="2757">
        <f ca="1">ROUND(B2*10000/IF(C1="",'数据-汇总表'!E3,INDIRECT("'数据-取费表'!K"&amp;$K$1)),0)</f>
        <v>-237</v>
      </c>
      <c r="C3" s="175" t="s">
        <v>1532</v>
      </c>
      <c r="E3" s="541"/>
      <c r="I3" s="2225"/>
      <c r="J3" s="2225"/>
      <c r="K3" s="2225"/>
    </row>
    <row r="4" spans="1:33" ht="18" customHeight="1">
      <c r="A4" s="3639" t="s">
        <v>3625</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37" t="s">
        <v>3374</v>
      </c>
      <c r="D6" s="5037"/>
      <c r="E6" s="5037"/>
      <c r="F6" s="5037"/>
      <c r="G6" s="5037"/>
      <c r="H6" s="5037"/>
      <c r="I6" s="5037"/>
      <c r="J6" s="5037"/>
      <c r="K6" s="5038"/>
    </row>
    <row r="7" spans="1:33" s="545" customFormat="1" ht="14.4">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3956</v>
      </c>
      <c r="B10" s="4437" t="s">
        <v>3955</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1" t="s">
        <v>3387</v>
      </c>
      <c r="B11" s="5042"/>
      <c r="C11" s="5042"/>
      <c r="D11" s="5042"/>
      <c r="E11" s="5042"/>
      <c r="F11" s="5042"/>
      <c r="G11" s="5042"/>
      <c r="H11" s="5042"/>
      <c r="I11" s="5042"/>
      <c r="J11" s="5042"/>
      <c r="K11" s="5043"/>
    </row>
    <row r="12" spans="1:33" s="4434" customFormat="1" ht="13.5" customHeight="1">
      <c r="A12" s="3469" t="s">
        <v>3507</v>
      </c>
      <c r="B12" s="4431" t="s">
        <v>1537</v>
      </c>
      <c r="C12" s="4435" t="s">
        <v>3952</v>
      </c>
      <c r="D12" s="4431" t="s">
        <v>1539</v>
      </c>
      <c r="E12" s="4431" t="s">
        <v>1540</v>
      </c>
      <c r="F12" s="4431" t="s">
        <v>1541</v>
      </c>
      <c r="G12" s="4432" t="s">
        <v>3398</v>
      </c>
      <c r="H12" s="4431"/>
      <c r="I12" s="4431"/>
      <c r="J12" s="4431"/>
      <c r="K12" s="4433"/>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3389</v>
      </c>
      <c r="C17" s="2939">
        <f ca="1">ROUND(C16*F17,0)</f>
        <v>0</v>
      </c>
      <c r="D17" s="551"/>
      <c r="E17" s="216"/>
      <c r="F17" s="2908">
        <f>'数据-取费表'!B33</f>
        <v>0.02</v>
      </c>
      <c r="G17" s="3672" t="s">
        <v>3674</v>
      </c>
      <c r="H17" s="2915"/>
      <c r="I17" s="2915"/>
      <c r="J17" s="2915"/>
      <c r="K17" s="2916"/>
    </row>
    <row r="18" spans="1:33" s="552" customFormat="1" ht="13.5" customHeight="1">
      <c r="A18" s="546" t="s">
        <v>1536</v>
      </c>
      <c r="B18" s="2931" t="s">
        <v>3390</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3377</v>
      </c>
      <c r="B19" s="2931" t="s">
        <v>3391</v>
      </c>
      <c r="C19" s="2939">
        <f ca="1">C20+C23+C24</f>
        <v>1</v>
      </c>
      <c r="D19" s="569"/>
      <c r="E19" s="216"/>
      <c r="F19" s="2908"/>
      <c r="G19" s="2915"/>
      <c r="H19" s="2915"/>
      <c r="I19" s="2915"/>
      <c r="J19" s="2915"/>
      <c r="K19" s="2916"/>
    </row>
    <row r="20" spans="1:33" s="552" customFormat="1" ht="13.5" customHeight="1">
      <c r="A20" s="2893" t="s">
        <v>3380</v>
      </c>
      <c r="B20" s="2918" t="s">
        <v>1547</v>
      </c>
      <c r="C20" s="2939">
        <f ca="1">C21+C22-IF(C1="",'数据-取费表'!B29,IF(G20="已全部缴纳",C21+C22,H20))</f>
        <v>1</v>
      </c>
      <c r="D20" s="569"/>
      <c r="E20" s="12"/>
      <c r="F20" s="2909"/>
      <c r="G20" s="2919"/>
      <c r="H20" s="2920"/>
      <c r="I20" s="2921" t="s">
        <v>1548</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42.16</v>
      </c>
      <c r="E22" s="2940">
        <f>'数据-取费表'!B28</f>
        <v>200</v>
      </c>
      <c r="F22" s="2935"/>
      <c r="G22" s="190"/>
      <c r="H22" s="190"/>
      <c r="I22" s="190"/>
      <c r="J22" s="190"/>
      <c r="K22" s="2027"/>
    </row>
    <row r="23" spans="1:33" s="553" customFormat="1" ht="13.5" customHeight="1">
      <c r="A23" s="2893" t="s">
        <v>3381</v>
      </c>
      <c r="B23" s="2918" t="s">
        <v>1543</v>
      </c>
      <c r="C23" s="2939">
        <f ca="1">ROUND(D23*E23*F16/10000,0)</f>
        <v>0</v>
      </c>
      <c r="D23" s="2943">
        <f ca="1">IF(C1="",'数据-汇总表'!E3,INDIRECT("'数据-取费表'!K"&amp;$K$1)+INDIRECT("'数据-取费表'!S"&amp;$K$1))</f>
        <v>42.16</v>
      </c>
      <c r="E23" s="2939">
        <f>'数据-取费表'!B35</f>
        <v>300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1545</v>
      </c>
      <c r="C24" s="2939">
        <f ca="1">ROUND(D24*E24/10000,0)</f>
        <v>0</v>
      </c>
      <c r="D24" s="2943">
        <f ca="1">D23</f>
        <v>42.16</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0.02</v>
      </c>
      <c r="G25" s="2894"/>
      <c r="H25" s="2894"/>
      <c r="I25" s="2894"/>
      <c r="J25" s="2894"/>
      <c r="K25" s="2922"/>
    </row>
    <row r="26" spans="1:33" s="553" customFormat="1" ht="13.5" customHeight="1">
      <c r="A26" s="2891" t="s">
        <v>3379</v>
      </c>
      <c r="B26" s="2931" t="s">
        <v>3393</v>
      </c>
      <c r="C26" s="2904">
        <f ca="1">ROUND(C16*F26,0)</f>
        <v>0</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0.01</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0.01</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39" t="s">
        <v>3386</v>
      </c>
      <c r="H32" s="5039"/>
      <c r="I32" s="5039"/>
      <c r="J32" s="5039"/>
      <c r="K32" s="5040"/>
    </row>
    <row r="33" spans="1:11" s="180" customFormat="1" ht="13.5" customHeight="1">
      <c r="A33" s="2727">
        <v>8</v>
      </c>
      <c r="B33" s="2896" t="s">
        <v>1554</v>
      </c>
      <c r="C33" s="2941" t="str">
        <f ca="1">C35&amp;"+"&amp;C34&amp;"V"</f>
        <v>0+0V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3396</v>
      </c>
      <c r="C35" s="2906">
        <f ca="1">ROUND((C15+C27+C28)*F33,0)</f>
        <v>0</v>
      </c>
      <c r="D35" s="178"/>
      <c r="E35" s="554"/>
      <c r="F35" s="2910"/>
      <c r="G35" s="216"/>
      <c r="H35" s="216"/>
      <c r="I35" s="216"/>
      <c r="J35" s="216"/>
      <c r="K35" s="2917"/>
    </row>
    <row r="36" spans="1:11" s="550" customFormat="1" ht="15.6">
      <c r="A36" s="2727">
        <v>9</v>
      </c>
      <c r="B36" s="2914" t="s">
        <v>3385</v>
      </c>
      <c r="C36" s="2899">
        <f ca="1">ROUND((C13-C15-C27-C28-C31-C35-C32)/(1+F14+C30+C34),0)</f>
        <v>-1</v>
      </c>
      <c r="D36" s="2915"/>
      <c r="E36" s="2915"/>
      <c r="F36" s="176"/>
      <c r="G36" s="2948" t="s">
        <v>3397</v>
      </c>
      <c r="H36" s="2915"/>
      <c r="I36" s="2915"/>
      <c r="J36" s="2915"/>
      <c r="K36" s="2916"/>
    </row>
    <row r="37" spans="1:11" s="3025" customFormat="1" ht="15" thickBot="1">
      <c r="A37" s="2928">
        <v>10</v>
      </c>
      <c r="B37" s="2929" t="s">
        <v>3472</v>
      </c>
      <c r="C37" s="3022">
        <f ca="1">ROUND(C36*(1+F37),0)</f>
        <v>-1</v>
      </c>
      <c r="D37" s="3023"/>
      <c r="E37" s="3024"/>
      <c r="F37" s="2930">
        <v>0.09</v>
      </c>
      <c r="G37" s="2914" t="s">
        <v>3473</v>
      </c>
      <c r="H37" s="2915"/>
      <c r="I37" s="2915"/>
      <c r="J37" s="2915"/>
      <c r="K37" s="2916"/>
    </row>
    <row r="38" spans="1:11" ht="12.75" customHeight="1"/>
    <row r="44" spans="1:11" s="3467" customFormat="1" ht="18" thickBot="1">
      <c r="A44" s="3472" t="s">
        <v>3480</v>
      </c>
      <c r="B44" s="2020"/>
      <c r="C44" s="3473"/>
      <c r="D44" s="2020"/>
      <c r="E44" s="2020"/>
      <c r="F44" s="2020"/>
      <c r="G44" s="2020"/>
    </row>
    <row r="45" spans="1:11" s="3467" customFormat="1" ht="14.4">
      <c r="A45" s="3469" t="s">
        <v>3507</v>
      </c>
      <c r="B45" s="2912" t="s">
        <v>1537</v>
      </c>
      <c r="C45" s="2913" t="s">
        <v>1538</v>
      </c>
      <c r="D45" s="1239" t="s">
        <v>1539</v>
      </c>
      <c r="E45" s="1239" t="s">
        <v>1540</v>
      </c>
      <c r="F45" s="1239" t="s">
        <v>1541</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v>
      </c>
      <c r="D53" s="660"/>
      <c r="E53" s="660"/>
      <c r="F53" s="660"/>
      <c r="G53" s="660"/>
    </row>
    <row r="54" spans="1:7" s="3467" customFormat="1">
      <c r="A54" s="3667" t="s">
        <v>3383</v>
      </c>
      <c r="B54" s="3668" t="s">
        <v>3500</v>
      </c>
      <c r="C54" s="3669">
        <f ca="1">C20</f>
        <v>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0</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0+0V</v>
      </c>
      <c r="D64" s="660"/>
      <c r="E64" s="660"/>
      <c r="F64" s="660"/>
      <c r="G64" s="660"/>
    </row>
    <row r="65" spans="1:7" s="3467" customFormat="1">
      <c r="A65" s="660">
        <v>5</v>
      </c>
      <c r="B65" s="2932" t="s">
        <v>3490</v>
      </c>
      <c r="C65" s="2903">
        <f ca="1">C36</f>
        <v>-1</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1988</v>
      </c>
      <c r="B1" s="1690"/>
      <c r="C1" s="1690"/>
      <c r="D1" s="1690"/>
      <c r="E1" s="1690"/>
      <c r="F1" s="2223"/>
      <c r="G1" s="2223"/>
      <c r="H1" s="2223"/>
      <c r="I1" s="2223"/>
      <c r="J1" s="2223"/>
      <c r="K1" s="2223"/>
      <c r="L1" s="2223"/>
      <c r="M1" s="2223"/>
      <c r="N1" s="2223"/>
      <c r="O1" s="2223"/>
      <c r="P1" s="2223"/>
    </row>
    <row r="2" spans="1:16" ht="15.6">
      <c r="A2" s="1688" t="s">
        <v>1980</v>
      </c>
      <c r="B2" s="3163" t="e">
        <f ca="1">SUMIF(B6:B13,"&lt;&gt;#ref!",B6:B13)</f>
        <v>#DIV/0!</v>
      </c>
      <c r="C2" s="1688" t="s">
        <v>1981</v>
      </c>
      <c r="D2" s="1688" t="s">
        <v>1982</v>
      </c>
      <c r="E2" s="3164">
        <f ca="1">SUMIF(E6:E13,"&lt;&gt;#ref!",E6:E13)</f>
        <v>42.16</v>
      </c>
      <c r="F2" s="2223"/>
      <c r="G2" s="2223"/>
      <c r="H2" s="2223"/>
      <c r="I2" s="2223"/>
      <c r="J2" s="2223"/>
      <c r="K2" s="2223"/>
      <c r="L2" s="2223"/>
      <c r="M2" s="2223"/>
      <c r="N2" s="2223"/>
      <c r="O2" s="2223"/>
      <c r="P2" s="2223"/>
    </row>
    <row r="3" spans="1:16" ht="15.6">
      <c r="A3" s="1688" t="s">
        <v>1983</v>
      </c>
      <c r="B3" s="3163" t="e">
        <f ca="1">ROUND(B2*10000/E2,0)</f>
        <v>#DIV/0!</v>
      </c>
      <c r="C3" s="1688" t="s">
        <v>1989</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1984</v>
      </c>
      <c r="B5" s="2046" t="s">
        <v>1985</v>
      </c>
      <c r="C5" s="1689"/>
      <c r="D5" s="2223"/>
      <c r="E5" s="2047" t="s">
        <v>1986</v>
      </c>
      <c r="F5" s="2223"/>
      <c r="G5" s="2223"/>
      <c r="H5" s="2223"/>
      <c r="I5" s="2223"/>
      <c r="J5" s="2223"/>
      <c r="K5" s="2223"/>
      <c r="L5" s="2223"/>
      <c r="M5" s="2223"/>
      <c r="N5" s="2223"/>
      <c r="O5" s="2223"/>
      <c r="P5" s="2223"/>
    </row>
    <row r="6" spans="1:16" ht="15.6">
      <c r="A6" s="2045" t="s">
        <v>1987</v>
      </c>
      <c r="B6" s="3163" t="e">
        <f ca="1">SUMIF(INDIRECT("'"&amp;A6&amp;"'"&amp;"!A:A"),"总价",INDIRECT("'"&amp;A6&amp;"'"&amp;"!B:B"))</f>
        <v>#DIV/0!</v>
      </c>
      <c r="C6" s="1688" t="s">
        <v>1981</v>
      </c>
      <c r="D6" s="2223"/>
      <c r="E6" s="3164">
        <f ca="1">SUMIF(INDIRECT("'"&amp;A6&amp;"'"&amp;"!C:C"),"建筑面积",INDIRECT("'"&amp;A6&amp;"'"&amp;"!D:D"))</f>
        <v>42.16</v>
      </c>
      <c r="F6" s="2223"/>
      <c r="G6" s="2223"/>
      <c r="H6" s="2223"/>
      <c r="I6" s="2223"/>
      <c r="J6" s="2223"/>
      <c r="K6" s="2223"/>
      <c r="L6" s="2223"/>
      <c r="M6" s="2223"/>
      <c r="N6" s="2223"/>
      <c r="O6" s="2223"/>
      <c r="P6" s="2223"/>
    </row>
    <row r="7" spans="1:16" ht="15.6">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6">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6">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6">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6">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6">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6">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2"/>
      <c r="C2" s="4652"/>
      <c r="D2" s="4652"/>
      <c r="E2" s="4652"/>
    </row>
    <row r="3" spans="1:5" ht="17.399999999999999">
      <c r="A3" s="4653" t="str">
        <f>IF(项目基本情况!B9="房地产市场价值","估价结果一览表（市场价值不需“结果表-1”）","估价结果一览表")</f>
        <v>估价结果一览表</v>
      </c>
      <c r="B3" s="4653"/>
      <c r="C3" s="4653"/>
      <c r="D3" s="4653"/>
      <c r="E3" s="4653"/>
    </row>
    <row r="4" spans="1:5" ht="18" thickBot="1">
      <c r="A4" s="1099"/>
      <c r="B4" s="4651" t="s">
        <v>901</v>
      </c>
      <c r="C4" s="4651"/>
      <c r="D4" s="4651"/>
      <c r="E4" s="1099"/>
    </row>
    <row r="5" spans="1:5" ht="16.2" thickTop="1">
      <c r="A5" s="1097"/>
      <c r="B5" s="4649" t="s">
        <v>893</v>
      </c>
      <c r="C5" s="1100" t="s">
        <v>894</v>
      </c>
      <c r="D5" s="573">
        <f ca="1">结果表!H101</f>
        <v>12.841900000000001</v>
      </c>
      <c r="E5" s="1097"/>
    </row>
    <row r="6" spans="1:5" ht="15.6">
      <c r="A6" s="1097"/>
      <c r="B6" s="4649"/>
      <c r="C6" s="1100" t="s">
        <v>895</v>
      </c>
      <c r="D6" s="573" t="str">
        <f ca="1">NUMBERSTRING(INT(D5*10000),2)&amp;"元整"</f>
        <v>壹拾贰万捌仟肆佰壹拾玖元整</v>
      </c>
      <c r="E6" s="1097"/>
    </row>
    <row r="7" spans="1:5" ht="15.6">
      <c r="A7" s="1097"/>
      <c r="B7" s="4654"/>
      <c r="C7" s="1101" t="s">
        <v>896</v>
      </c>
      <c r="D7" s="574">
        <f ca="1">结果表!H102</f>
        <v>722486</v>
      </c>
      <c r="E7" s="1097"/>
    </row>
    <row r="8" spans="1:5" ht="15.6">
      <c r="A8" s="1097"/>
      <c r="B8" s="4655" t="str">
        <f>结果表!E103</f>
        <v>2.估价师知悉的法定优先受偿款</v>
      </c>
      <c r="C8" s="1102" t="s">
        <v>897</v>
      </c>
      <c r="D8" s="574">
        <f>结果表!H103</f>
        <v>0</v>
      </c>
      <c r="E8" s="1097"/>
    </row>
    <row r="9" spans="1:5" ht="15.6">
      <c r="A9" s="1097"/>
      <c r="B9" s="4657"/>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48" t="str">
        <f>结果表!E107</f>
        <v>3.房地产抵押价值</v>
      </c>
      <c r="C13" s="1105" t="s">
        <v>894</v>
      </c>
      <c r="D13" s="576">
        <f ca="1">结果表!H107</f>
        <v>12.841900000000001</v>
      </c>
      <c r="E13" s="1097"/>
    </row>
    <row r="14" spans="1:5" ht="15.6">
      <c r="A14" s="1097"/>
      <c r="B14" s="4649"/>
      <c r="C14" s="1100" t="s">
        <v>895</v>
      </c>
      <c r="D14" s="573" t="str">
        <f ca="1">NUMBERSTRING(INT(D13*10000),2)&amp;"元整"</f>
        <v>壹拾贰万捌仟肆佰壹拾玖元整</v>
      </c>
      <c r="E14" s="1097"/>
    </row>
    <row r="15" spans="1:5" ht="15.6">
      <c r="A15" s="1097"/>
      <c r="B15" s="4654"/>
      <c r="C15" s="1101" t="s">
        <v>905</v>
      </c>
      <c r="D15" s="581">
        <f ca="1">结果表!H108</f>
        <v>722486</v>
      </c>
      <c r="E15" s="1097"/>
    </row>
    <row r="16" spans="1:5" ht="15.6">
      <c r="A16" s="1097"/>
      <c r="B16" s="4655" t="str">
        <f>结果表!E109</f>
        <v>——</v>
      </c>
      <c r="C16" s="1105" t="s">
        <v>906</v>
      </c>
      <c r="D16" s="1106" t="str">
        <f>结果表!H109</f>
        <v>——</v>
      </c>
      <c r="E16" s="1097"/>
    </row>
    <row r="17" spans="1:5" ht="15.6">
      <c r="A17" s="1097"/>
      <c r="B17" s="4656"/>
      <c r="C17" s="1100" t="s">
        <v>907</v>
      </c>
      <c r="D17" s="573" t="e">
        <f>NUMBERSTRING(INT(D16*10000),2)&amp;"元整"</f>
        <v>#VALUE!</v>
      </c>
      <c r="E17" s="1097"/>
    </row>
    <row r="18" spans="1:5" ht="15.6">
      <c r="A18" s="1097"/>
      <c r="B18" s="4657"/>
      <c r="C18" s="1101" t="s">
        <v>896</v>
      </c>
      <c r="D18" s="581" t="str">
        <f>结果表!H110</f>
        <v>——</v>
      </c>
      <c r="E18" s="1097"/>
    </row>
    <row r="19" spans="1:5" ht="15.6">
      <c r="A19" s="1097"/>
      <c r="B19" s="4648" t="str">
        <f>结果表!E111</f>
        <v>——</v>
      </c>
      <c r="C19" s="1105" t="s">
        <v>894</v>
      </c>
      <c r="D19" s="574" t="str">
        <f>结果表!H111</f>
        <v>——</v>
      </c>
      <c r="E19" s="1097"/>
    </row>
    <row r="20" spans="1:5" ht="15.6">
      <c r="A20" s="1097"/>
      <c r="B20" s="4649"/>
      <c r="C20" s="1100" t="s">
        <v>907</v>
      </c>
      <c r="D20" s="573" t="e">
        <f>NUMBERSTRING(INT(D19*10000),2)&amp;"元整"</f>
        <v>#VALUE!</v>
      </c>
      <c r="E20" s="1097"/>
    </row>
    <row r="21" spans="1:5" ht="16.2" thickBot="1">
      <c r="A21" s="1097"/>
      <c r="B21" s="4650"/>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4" t="s">
        <v>3513</v>
      </c>
      <c r="B1" s="832"/>
      <c r="C1" s="833"/>
      <c r="D1" s="831"/>
      <c r="E1" s="2225"/>
      <c r="F1" s="2225"/>
      <c r="G1" s="2104"/>
      <c r="H1" s="2225"/>
      <c r="I1" s="2225"/>
      <c r="J1" s="2225"/>
      <c r="K1" s="2226">
        <f>MATCH(C1,'数据-取费表'!A6:A16,0)+5</f>
        <v>7</v>
      </c>
    </row>
    <row r="2" spans="1:33" ht="18" customHeight="1">
      <c r="A2" s="100" t="s">
        <v>1431</v>
      </c>
      <c r="B2" s="2757">
        <f ca="1">C34</f>
        <v>-15</v>
      </c>
      <c r="C2" s="175" t="s">
        <v>1531</v>
      </c>
      <c r="D2" s="175"/>
      <c r="E2" s="2225"/>
      <c r="F2" s="2225"/>
      <c r="G2" s="2225"/>
      <c r="H2" s="2225"/>
      <c r="I2" s="2225"/>
      <c r="J2" s="2225"/>
      <c r="K2" s="2225"/>
    </row>
    <row r="3" spans="1:33" ht="18" customHeight="1">
      <c r="A3" s="102" t="s">
        <v>1433</v>
      </c>
      <c r="B3" s="2757">
        <f ca="1">ROUND(B2*10000/IF(C1="",'数据-汇总表'!E3,INDIRECT("'数据-取费表'!K"&amp;$K$1)),0)</f>
        <v>-3558</v>
      </c>
      <c r="C3" s="175" t="s">
        <v>1532</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37" t="s">
        <v>3374</v>
      </c>
      <c r="D6" s="5037"/>
      <c r="E6" s="5037"/>
      <c r="F6" s="5037"/>
      <c r="G6" s="5037"/>
      <c r="H6" s="5037"/>
      <c r="I6" s="5037"/>
      <c r="J6" s="5037"/>
      <c r="K6" s="5038"/>
    </row>
    <row r="7" spans="1:33" s="545" customFormat="1" ht="14.4">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3957</v>
      </c>
      <c r="B10" s="4437" t="s">
        <v>3952</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4" t="s">
        <v>3518</v>
      </c>
      <c r="B11" s="5045"/>
      <c r="C11" s="5045"/>
      <c r="D11" s="5045"/>
      <c r="E11" s="5045"/>
      <c r="F11" s="5045"/>
      <c r="G11" s="5045"/>
      <c r="H11" s="5045"/>
      <c r="I11" s="5045"/>
      <c r="J11" s="5045"/>
      <c r="K11" s="5046"/>
    </row>
    <row r="12" spans="1:33" s="4434" customFormat="1" ht="13.5" customHeight="1">
      <c r="A12" s="3469" t="s">
        <v>3507</v>
      </c>
      <c r="B12" s="4431" t="s">
        <v>1537</v>
      </c>
      <c r="C12" s="4435" t="s">
        <v>3952</v>
      </c>
      <c r="D12" s="4431" t="s">
        <v>1539</v>
      </c>
      <c r="E12" s="4431" t="s">
        <v>1540</v>
      </c>
      <c r="F12" s="4431" t="s">
        <v>1541</v>
      </c>
      <c r="G12" s="4443" t="s">
        <v>3398</v>
      </c>
      <c r="H12" s="4444"/>
      <c r="I12" s="4444"/>
      <c r="J12" s="4444"/>
      <c r="K12" s="4445"/>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15</v>
      </c>
      <c r="D15" s="559"/>
      <c r="E15" s="177"/>
      <c r="F15" s="3485"/>
      <c r="G15" s="3612" t="s">
        <v>3537</v>
      </c>
      <c r="H15" s="555"/>
      <c r="I15" s="555"/>
      <c r="J15" s="555"/>
      <c r="K15" s="556"/>
    </row>
    <row r="16" spans="1:33" s="552" customFormat="1" ht="13.5" customHeight="1">
      <c r="A16" s="3623" t="s">
        <v>3587</v>
      </c>
      <c r="B16" s="3489" t="s">
        <v>3520</v>
      </c>
      <c r="C16" s="3490">
        <f ca="1">SUM(C17:C22)</f>
        <v>16</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15</v>
      </c>
      <c r="D17" s="3492"/>
      <c r="E17" s="3493"/>
      <c r="F17" s="3505"/>
      <c r="G17" s="3613"/>
      <c r="H17" s="3610"/>
      <c r="I17" s="3610"/>
      <c r="J17" s="3610"/>
      <c r="K17" s="3622"/>
    </row>
    <row r="18" spans="1:33" s="552" customFormat="1" ht="13.5" customHeight="1">
      <c r="A18" s="3624" t="s">
        <v>3526</v>
      </c>
      <c r="B18" s="3476" t="s">
        <v>3527</v>
      </c>
      <c r="C18" s="2735">
        <f ca="1">ROUND(C17*F18,0)</f>
        <v>0</v>
      </c>
      <c r="D18" s="3489"/>
      <c r="E18" s="3489"/>
      <c r="F18" s="3506">
        <f>'数据-取费表'!B33</f>
        <v>0.02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1</v>
      </c>
      <c r="D20" s="3487">
        <f ca="1">IF(C1="",'数据-汇总表'!E3,INDIRECT("'数据-取费表'!K"&amp;$K$1)+INDIRECT("'数据-取费表'!S"&amp;$K$1))</f>
        <v>42.16</v>
      </c>
      <c r="E20" s="3488">
        <f>'数据-取费表'!B35</f>
        <v>300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0.02</v>
      </c>
      <c r="G21" s="2731"/>
      <c r="H21" s="3465"/>
      <c r="I21" s="3465"/>
      <c r="J21" s="3465"/>
      <c r="K21" s="3625"/>
    </row>
    <row r="22" spans="1:33" s="552" customFormat="1" ht="13.5" customHeight="1">
      <c r="A22" s="3624" t="s">
        <v>3542</v>
      </c>
      <c r="B22" s="3478" t="s">
        <v>3549</v>
      </c>
      <c r="C22" s="2735">
        <f ca="1">ROUND(C17*F22,0)</f>
        <v>0</v>
      </c>
      <c r="D22" s="3494"/>
      <c r="E22" s="3494"/>
      <c r="F22" s="3506">
        <f>'数据-取费表'!B37</f>
        <v>0.02</v>
      </c>
      <c r="G22" s="2731"/>
      <c r="H22" s="3465"/>
      <c r="I22" s="3465"/>
      <c r="J22" s="3465"/>
      <c r="K22" s="3625"/>
    </row>
    <row r="23" spans="1:33" s="553" customFormat="1" ht="13.5" customHeight="1">
      <c r="A23" s="3623" t="s">
        <v>3588</v>
      </c>
      <c r="B23" s="3489" t="s">
        <v>3484</v>
      </c>
      <c r="C23" s="2740">
        <f ca="1">ROUND(C16*F23,0)</f>
        <v>0</v>
      </c>
      <c r="D23" s="3495"/>
      <c r="E23" s="3495"/>
      <c r="F23" s="3507">
        <f>'数据-取费表'!B38</f>
        <v>0.01</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0.01V建</v>
      </c>
      <c r="D24" s="3495"/>
      <c r="E24" s="3495"/>
      <c r="F24" s="3507">
        <f>'数据-取费表'!B39</f>
        <v>0.01</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3" t="s">
        <v>3590</v>
      </c>
      <c r="B25" s="3489" t="s">
        <v>3415</v>
      </c>
      <c r="C25" s="3496" t="str">
        <f ca="1">C26&amp;"+"&amp;C27&amp;"V建"</f>
        <v>0+0.0002V建</v>
      </c>
      <c r="D25" s="3497"/>
      <c r="E25" s="3497"/>
      <c r="F25" s="3506">
        <f ca="1">'数据-取费表'!B41</f>
        <v>0.03</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0</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 ca="1">ROUND(IF('数据-取费表'!B20&lt;=1,F24*F25*'数据-取费表'!B20/2,F24*(POWER((1+F23),'数据-取费表'!B20/2)-1)),4)</f>
        <v>2.0000000000000001E-4</v>
      </c>
      <c r="D27" s="3466"/>
      <c r="E27" s="3466"/>
      <c r="F27" s="3505"/>
      <c r="G27" s="3616"/>
      <c r="H27" s="3610"/>
      <c r="I27" s="3610"/>
      <c r="J27" s="3610"/>
      <c r="K27" s="3622"/>
    </row>
    <row r="28" spans="1:33" s="552" customFormat="1" ht="13.5" customHeight="1">
      <c r="A28" s="3623" t="s">
        <v>3533</v>
      </c>
      <c r="B28" s="3489" t="s">
        <v>3550</v>
      </c>
      <c r="C28" s="2887" t="str">
        <f ca="1">C29&amp;"+"&amp;C30&amp;"V建"</f>
        <v>1+0.0005V建</v>
      </c>
      <c r="D28" s="1070"/>
      <c r="E28" s="1070"/>
      <c r="F28" s="3508">
        <f ca="1">IF(C1="",'数据-取费表'!Q16,INDIRECT("'数据-取费表'!q"&amp;$K$1))</f>
        <v>0.05</v>
      </c>
      <c r="G28" s="5047" t="s">
        <v>3534</v>
      </c>
      <c r="H28" s="3610"/>
      <c r="I28" s="3610"/>
      <c r="J28" s="3610"/>
      <c r="K28" s="3622"/>
    </row>
    <row r="29" spans="1:33" s="552" customFormat="1" ht="13.5" customHeight="1">
      <c r="A29" s="3624" t="s">
        <v>3546</v>
      </c>
      <c r="B29" s="3478" t="s">
        <v>3551</v>
      </c>
      <c r="C29" s="2888">
        <f ca="1">ROUND((C16+C23)*F28,0)</f>
        <v>1</v>
      </c>
      <c r="D29" s="1070"/>
      <c r="E29" s="1070"/>
      <c r="F29" s="2957"/>
      <c r="G29" s="5047"/>
      <c r="H29" s="3617"/>
      <c r="I29" s="3617"/>
      <c r="J29" s="3617"/>
      <c r="K29" s="3627"/>
    </row>
    <row r="30" spans="1:33" s="560" customFormat="1" ht="13.5" customHeight="1">
      <c r="A30" s="3624" t="s">
        <v>3547</v>
      </c>
      <c r="B30" s="3478" t="s">
        <v>3552</v>
      </c>
      <c r="C30" s="2735">
        <f ca="1">ROUND(F24*F28,4)</f>
        <v>5.0000000000000001E-4</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17</v>
      </c>
      <c r="D32" s="3500"/>
      <c r="E32" s="3501"/>
      <c r="F32" s="3487"/>
      <c r="G32" s="3620" t="s">
        <v>3524</v>
      </c>
      <c r="H32" s="3621"/>
      <c r="I32" s="3621"/>
      <c r="J32" s="3621"/>
      <c r="K32" s="3628"/>
    </row>
    <row r="33" spans="1:11" s="180" customFormat="1" ht="13.5" customHeight="1">
      <c r="A33" s="3623" t="s">
        <v>3545</v>
      </c>
      <c r="B33" s="3502" t="s">
        <v>3535</v>
      </c>
      <c r="C33" s="3503">
        <f ca="1">ROUND(C32*(1-F33),0)</f>
        <v>2</v>
      </c>
      <c r="D33" s="3504"/>
      <c r="E33" s="3466"/>
      <c r="F33" s="3507">
        <f>IF('数据-取费表'!B24=0,'数据-取费表'!N16,1)</f>
        <v>0.9</v>
      </c>
      <c r="G33" s="3612" t="s">
        <v>3536</v>
      </c>
      <c r="H33" s="3617"/>
      <c r="I33" s="3617"/>
      <c r="J33" s="3617"/>
      <c r="K33" s="3627"/>
    </row>
    <row r="34" spans="1:11" s="550" customFormat="1" ht="16.2" thickBot="1">
      <c r="A34" s="3629">
        <v>4</v>
      </c>
      <c r="B34" s="3630" t="s">
        <v>3593</v>
      </c>
      <c r="C34" s="3631">
        <f ca="1">C13-C15</f>
        <v>-15</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4" t="s">
        <v>3514</v>
      </c>
      <c r="B1" s="3482"/>
      <c r="C1" s="3070"/>
      <c r="D1" s="97"/>
      <c r="E1" s="97"/>
      <c r="F1" s="97"/>
      <c r="G1" s="795">
        <f>MATCH(C1,'数据-取费表'!A6:A16,0)+5</f>
        <v>7</v>
      </c>
    </row>
    <row r="2" spans="1:7" s="99" customFormat="1" ht="15.6">
      <c r="A2" s="100" t="s">
        <v>1431</v>
      </c>
      <c r="B2" s="2756">
        <f ca="1">C34</f>
        <v>2</v>
      </c>
      <c r="C2" s="98" t="s">
        <v>1432</v>
      </c>
      <c r="D2" s="98"/>
      <c r="E2" s="2744"/>
      <c r="F2" s="98"/>
      <c r="G2" s="98"/>
    </row>
    <row r="3" spans="1:7" s="99" customFormat="1" ht="15.6">
      <c r="A3" s="102" t="s">
        <v>1433</v>
      </c>
      <c r="B3" s="2757">
        <f ca="1">ROUND(B2*10000/(IF(C1="",'数据-汇总表'!E3,INDIRECT("'数据-取费表'!k"&amp;$G$1))),0)</f>
        <v>474</v>
      </c>
      <c r="C3" s="98" t="s">
        <v>1434</v>
      </c>
      <c r="D3" s="98"/>
      <c r="E3" s="2744"/>
      <c r="F3" s="98"/>
      <c r="G3" s="98"/>
    </row>
    <row r="4" spans="1:7" s="99" customFormat="1" ht="15.6">
      <c r="A4" s="3647" t="s">
        <v>3628</v>
      </c>
      <c r="B4" s="2756" t="e">
        <f ca="1">ROUND(B2*10000/'数据-汇总表'!D3,0)</f>
        <v>#DIV/0!</v>
      </c>
      <c r="C4" s="100" t="s">
        <v>3630</v>
      </c>
      <c r="D4" s="98"/>
      <c r="E4" s="2744"/>
      <c r="F4" s="98"/>
      <c r="G4" s="98"/>
    </row>
    <row r="5" spans="1:7" s="99" customFormat="1" ht="16.2" thickBot="1">
      <c r="A5" s="98"/>
      <c r="B5" s="3656" t="e">
        <f ca="1">ROUND(B2/('数据-汇总表'!D3/666.67),0)</f>
        <v>#DIV/0!</v>
      </c>
      <c r="C5" s="3641" t="s">
        <v>3629</v>
      </c>
      <c r="D5" s="98"/>
      <c r="E5" s="2744"/>
      <c r="F5" s="98"/>
      <c r="G5" s="98"/>
    </row>
    <row r="6" spans="1:7" s="99" customFormat="1" ht="15.6">
      <c r="A6" s="3528" t="s">
        <v>3327</v>
      </c>
      <c r="B6" s="3529" t="s">
        <v>3328</v>
      </c>
      <c r="C6" s="3530" t="s">
        <v>3949</v>
      </c>
      <c r="D6" s="3531" t="s">
        <v>3333</v>
      </c>
      <c r="E6" s="3532" t="s">
        <v>3334</v>
      </c>
      <c r="F6" s="3532" t="s">
        <v>3335</v>
      </c>
      <c r="G6" s="3533" t="s">
        <v>3329</v>
      </c>
    </row>
    <row r="7" spans="1:7" s="107" customFormat="1" ht="15.6">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1451</v>
      </c>
      <c r="B9" s="3521" t="s">
        <v>3556</v>
      </c>
      <c r="C9" s="3670">
        <f>ROUND(D9*E9/10000,0)</f>
        <v>0</v>
      </c>
      <c r="D9" s="3511"/>
      <c r="E9" s="3511"/>
      <c r="F9" s="3480"/>
      <c r="G9" s="3536"/>
    </row>
    <row r="10" spans="1:7" s="113" customFormat="1">
      <c r="A10" s="2815" t="s">
        <v>1453</v>
      </c>
      <c r="B10" s="3521" t="s">
        <v>3557</v>
      </c>
      <c r="C10" s="3670">
        <f>ROUND(D10*E10/10000,0)</f>
        <v>0</v>
      </c>
      <c r="D10" s="3511"/>
      <c r="E10" s="3511"/>
      <c r="F10" s="3480"/>
      <c r="G10" s="3536"/>
    </row>
    <row r="11" spans="1:7" s="113" customFormat="1" ht="14.4">
      <c r="A11" s="3481" t="s">
        <v>3579</v>
      </c>
      <c r="B11" s="3587" t="s">
        <v>3569</v>
      </c>
      <c r="C11" s="140">
        <f>C12+C15+C16</f>
        <v>0</v>
      </c>
      <c r="D11" s="3480"/>
      <c r="E11" s="3480"/>
      <c r="F11" s="3480"/>
      <c r="G11" s="3536"/>
    </row>
    <row r="12" spans="1:7" s="113" customFormat="1">
      <c r="A12" s="2815" t="s">
        <v>1451</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1453</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4.4">
      <c r="A17" s="3481" t="s">
        <v>337</v>
      </c>
      <c r="B17" s="3523" t="s">
        <v>3570</v>
      </c>
      <c r="C17" s="2755">
        <f>C18+C19</f>
        <v>0</v>
      </c>
      <c r="D17" s="3594"/>
      <c r="E17" s="3595"/>
      <c r="F17" s="2787"/>
      <c r="G17" s="3603"/>
    </row>
    <row r="18" spans="1:9" s="113" customFormat="1">
      <c r="A18" s="3479" t="s">
        <v>347</v>
      </c>
      <c r="B18" s="3524" t="s">
        <v>1442</v>
      </c>
      <c r="C18" s="3263"/>
      <c r="D18" s="3596"/>
      <c r="E18" s="3595"/>
      <c r="F18" s="2786"/>
      <c r="G18" s="3672" t="s">
        <v>3662</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6">
      <c r="A20" s="3534" t="s">
        <v>3598</v>
      </c>
      <c r="B20" s="2737" t="s">
        <v>3571</v>
      </c>
      <c r="C20" s="2768">
        <f ca="1">C21+C24+C25</f>
        <v>2</v>
      </c>
      <c r="D20" s="3597"/>
      <c r="E20" s="3598"/>
      <c r="F20" s="2791"/>
      <c r="G20" s="3604"/>
    </row>
    <row r="21" spans="1:9" s="122" customFormat="1" ht="14.4">
      <c r="A21" s="3539" t="s">
        <v>3594</v>
      </c>
      <c r="B21" s="3516" t="s">
        <v>3319</v>
      </c>
      <c r="C21" s="2796">
        <f>IF(G21="已包含在土地购买价格中","0",IF(C1="",'数据-取费表'!B29,IF(G22="全部缴纳",C22+C23,H22)))</f>
        <v>0</v>
      </c>
      <c r="D21" s="3599"/>
      <c r="E21" s="3600"/>
      <c r="F21" s="3512"/>
      <c r="G21" s="1437"/>
    </row>
    <row r="22" spans="1:9" s="113" customFormat="1">
      <c r="A22" s="2739" t="s">
        <v>3577</v>
      </c>
      <c r="B22" s="3517" t="s">
        <v>1447</v>
      </c>
      <c r="C22" s="2795">
        <f ca="1">ROUND(D22*E22/10000,0)</f>
        <v>0</v>
      </c>
      <c r="D22" s="3509">
        <f ca="1">IF(C1="",'数据-汇总表'!E5,IF(INDIRECT("'数据-取费表'!c"&amp;$G$1)="住宅",INDIRECT("'数据-取费表'!k"&amp;$G$1),0))</f>
        <v>0</v>
      </c>
      <c r="E22" s="3509">
        <f>'数据-取费表'!B27</f>
        <v>160</v>
      </c>
      <c r="F22" s="2787"/>
      <c r="G22" s="1438"/>
      <c r="H22" s="803"/>
      <c r="I22" s="1439" t="s">
        <v>1448</v>
      </c>
    </row>
    <row r="23" spans="1:9" s="113" customFormat="1">
      <c r="A23" s="2739" t="s">
        <v>3578</v>
      </c>
      <c r="B23" s="3517" t="s">
        <v>1449</v>
      </c>
      <c r="C23" s="2795">
        <f ca="1">ROUND(D23*E23/10000,0)</f>
        <v>1</v>
      </c>
      <c r="D23" s="3509">
        <f ca="1">IF(C1="",'数据-汇总表'!E6,IF(INDIRECT("'数据-取费表'!c"&amp;$G$1)="住宅",INDIRECT("'数据-取费表'!s"&amp;$G$1),INDIRECT("'数据-取费表'!k"&amp;$G$1)+INDIRECT("'数据-取费表'!s"&amp;$G$1)))</f>
        <v>42.16</v>
      </c>
      <c r="E23" s="3509">
        <f>'数据-取费表'!B28</f>
        <v>200</v>
      </c>
      <c r="F23" s="2787"/>
      <c r="G23" s="3605"/>
    </row>
    <row r="24" spans="1:9" s="113" customFormat="1" ht="14.4">
      <c r="A24" s="3481" t="s">
        <v>3579</v>
      </c>
      <c r="B24" s="3518" t="s">
        <v>3595</v>
      </c>
      <c r="C24" s="2796">
        <f ca="1">IF(G24="已包含在土地取得成本中","0",ROUND(D24*E24/10000,0))</f>
        <v>1</v>
      </c>
      <c r="D24" s="3510">
        <f ca="1">D22+D23</f>
        <v>42.16</v>
      </c>
      <c r="E24" s="3510">
        <f>'数据-取费表'!B31</f>
        <v>265</v>
      </c>
      <c r="F24" s="3519"/>
      <c r="G24" s="1437"/>
    </row>
    <row r="25" spans="1:9" s="113" customFormat="1" ht="14.4">
      <c r="A25" s="3481" t="s">
        <v>337</v>
      </c>
      <c r="B25" s="3518" t="s">
        <v>3596</v>
      </c>
      <c r="C25" s="2796">
        <f ca="1">ROUND(E25*D25/10000,0)</f>
        <v>1</v>
      </c>
      <c r="D25" s="3510">
        <f ca="1">D24</f>
        <v>42.16</v>
      </c>
      <c r="E25" s="3510">
        <f>'数据-取费表'!B35</f>
        <v>300</v>
      </c>
      <c r="F25" s="3512"/>
      <c r="G25" s="3606"/>
    </row>
    <row r="26" spans="1:9" s="107" customFormat="1" ht="15.6">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6">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0.03</v>
      </c>
      <c r="G29" s="3608" t="str">
        <f>IF('数据-取费表'!B19&lt;=1,"单利计息","复利计息")</f>
        <v>单利计息</v>
      </c>
    </row>
    <row r="30" spans="1:9" s="2767" customFormat="1" ht="15.6">
      <c r="A30" s="3534" t="s">
        <v>3603</v>
      </c>
      <c r="B30" s="2737" t="s">
        <v>3604</v>
      </c>
      <c r="C30" s="2774">
        <f ca="1">ROUND((C7+C20+C26)*F30,0)</f>
        <v>0</v>
      </c>
      <c r="D30" s="2772"/>
      <c r="E30" s="302"/>
      <c r="F30" s="3525">
        <f ca="1">IF(C1="",'数据-取费表'!Q16,INDIRECT("'数据-取费表'!q"&amp;$G$1))</f>
        <v>0.05</v>
      </c>
      <c r="G30" s="3608"/>
    </row>
    <row r="31" spans="1:9" s="113" customFormat="1" ht="15.6">
      <c r="A31" s="2738" t="s">
        <v>3584</v>
      </c>
      <c r="B31" s="2737" t="s">
        <v>3576</v>
      </c>
      <c r="C31" s="2759">
        <f ca="1">C7+C20+C29+C30</f>
        <v>2</v>
      </c>
      <c r="D31" s="2750"/>
      <c r="E31" s="2750"/>
      <c r="F31" s="2749"/>
      <c r="G31" s="2751" t="s">
        <v>3607</v>
      </c>
    </row>
    <row r="32" spans="1:9" s="113" customFormat="1" ht="15.6">
      <c r="A32" s="2738" t="s">
        <v>3575</v>
      </c>
      <c r="B32" s="2737" t="s">
        <v>3574</v>
      </c>
      <c r="C32" s="3591">
        <f ca="1">ROUND(C31*F32,0)</f>
        <v>0</v>
      </c>
      <c r="D32" s="134"/>
      <c r="E32" s="135"/>
      <c r="F32" s="3526">
        <v>0.1</v>
      </c>
      <c r="G32" s="3609"/>
    </row>
    <row r="33" spans="1:14" s="113" customFormat="1" ht="15.6">
      <c r="A33" s="3590">
        <v>8</v>
      </c>
      <c r="B33" s="2737" t="s">
        <v>3586</v>
      </c>
      <c r="C33" s="2759">
        <f ca="1">C31+C32</f>
        <v>2</v>
      </c>
      <c r="D33" s="2750"/>
      <c r="E33" s="2750"/>
      <c r="F33" s="3527"/>
      <c r="G33" s="2751" t="s">
        <v>3606</v>
      </c>
    </row>
    <row r="34" spans="1:14" s="122" customFormat="1" ht="16.2" thickBot="1">
      <c r="A34" s="3541">
        <v>9</v>
      </c>
      <c r="B34" s="3542" t="s">
        <v>3585</v>
      </c>
      <c r="C34" s="2759">
        <f ca="1">ROUND(C33*F34,0)</f>
        <v>2</v>
      </c>
      <c r="D34" s="3543"/>
      <c r="E34" s="3543"/>
      <c r="F34" s="3593">
        <f>'数据-取费表'!AS16</f>
        <v>0.75600000000000001</v>
      </c>
      <c r="G34" s="2751" t="s">
        <v>3608</v>
      </c>
    </row>
    <row r="35" spans="1:14" s="113" customFormat="1"/>
    <row r="36" spans="1:14" s="113" customFormat="1"/>
    <row r="41" spans="1:14">
      <c r="J41" s="4613" t="s">
        <v>4059</v>
      </c>
    </row>
    <row r="42" spans="1:14">
      <c r="J42" s="4613" t="s">
        <v>4056</v>
      </c>
    </row>
    <row r="43" spans="1:14">
      <c r="J43" s="4614" t="s">
        <v>3995</v>
      </c>
      <c r="K43" s="4614"/>
      <c r="L43" s="4615"/>
      <c r="M43" s="4615"/>
      <c r="N43" s="4615"/>
    </row>
    <row r="44" spans="1:14" ht="26.4">
      <c r="J44" s="5051" t="s">
        <v>3996</v>
      </c>
      <c r="K44" s="5052"/>
      <c r="L44" s="5053"/>
      <c r="M44" s="4616" t="s">
        <v>3997</v>
      </c>
      <c r="N44" s="4616" t="s">
        <v>3998</v>
      </c>
    </row>
    <row r="45" spans="1:14">
      <c r="J45" s="5051" t="s">
        <v>3999</v>
      </c>
      <c r="K45" s="5052"/>
      <c r="L45" s="5053"/>
      <c r="M45" s="4616" t="s">
        <v>4000</v>
      </c>
      <c r="N45" s="5048" t="s">
        <v>4001</v>
      </c>
    </row>
    <row r="46" spans="1:14">
      <c r="J46" s="5051" t="s">
        <v>4002</v>
      </c>
      <c r="K46" s="5052"/>
      <c r="L46" s="5053"/>
      <c r="M46" s="5054" t="s">
        <v>4003</v>
      </c>
      <c r="N46" s="5049"/>
    </row>
    <row r="47" spans="1:14">
      <c r="J47" s="5051" t="s">
        <v>4004</v>
      </c>
      <c r="K47" s="5052"/>
      <c r="L47" s="5053"/>
      <c r="M47" s="5055"/>
      <c r="N47" s="5049"/>
    </row>
    <row r="48" spans="1:14">
      <c r="J48" s="5048" t="s">
        <v>4015</v>
      </c>
      <c r="K48" s="5054"/>
      <c r="L48" s="4616" t="s">
        <v>4005</v>
      </c>
      <c r="M48" s="5054" t="s">
        <v>4006</v>
      </c>
      <c r="N48" s="5049"/>
    </row>
    <row r="49" spans="10:15">
      <c r="J49" s="5049"/>
      <c r="K49" s="5056"/>
      <c r="L49" s="4616" t="s">
        <v>4007</v>
      </c>
      <c r="M49" s="5056"/>
      <c r="N49" s="5049"/>
    </row>
    <row r="50" spans="10:15">
      <c r="J50" s="5049"/>
      <c r="K50" s="5055"/>
      <c r="L50" s="4616" t="s">
        <v>4008</v>
      </c>
      <c r="M50" s="5056"/>
      <c r="N50" s="5049"/>
    </row>
    <row r="51" spans="10:15">
      <c r="J51" s="5049"/>
      <c r="K51" s="5048" t="s">
        <v>4016</v>
      </c>
      <c r="L51" s="4616" t="s">
        <v>4009</v>
      </c>
      <c r="M51" s="5056"/>
      <c r="N51" s="5049"/>
    </row>
    <row r="52" spans="10:15">
      <c r="J52" s="5050"/>
      <c r="K52" s="5049"/>
      <c r="L52" s="4616" t="s">
        <v>4017</v>
      </c>
      <c r="M52" s="5056"/>
      <c r="N52" s="5049"/>
    </row>
    <row r="53" spans="10:15">
      <c r="J53" s="5054"/>
      <c r="K53" s="5049"/>
      <c r="L53" s="4616" t="s">
        <v>4018</v>
      </c>
      <c r="M53" s="5056"/>
      <c r="N53" s="5049"/>
    </row>
    <row r="54" spans="10:15">
      <c r="J54" s="5056"/>
      <c r="K54" s="5049"/>
      <c r="L54" s="4616" t="s">
        <v>4010</v>
      </c>
      <c r="M54" s="5056"/>
      <c r="N54" s="5049"/>
    </row>
    <row r="55" spans="10:15">
      <c r="J55" s="5056"/>
      <c r="K55" s="5049"/>
      <c r="L55" s="4616" t="s">
        <v>4011</v>
      </c>
      <c r="M55" s="5056"/>
      <c r="N55" s="5049"/>
    </row>
    <row r="56" spans="10:15">
      <c r="J56" s="5056"/>
      <c r="K56" s="5049"/>
      <c r="L56" s="4616" t="s">
        <v>4012</v>
      </c>
      <c r="M56" s="5055"/>
      <c r="N56" s="5049"/>
    </row>
    <row r="57" spans="10:15">
      <c r="J57" s="5055"/>
      <c r="K57" s="5050"/>
      <c r="L57" s="4616" t="s">
        <v>4013</v>
      </c>
      <c r="M57" s="4617" t="s">
        <v>4014</v>
      </c>
      <c r="N57" s="5050"/>
    </row>
    <row r="60" spans="10:15">
      <c r="J60" s="4615" t="s">
        <v>4019</v>
      </c>
      <c r="K60" s="4615"/>
      <c r="L60" s="4615"/>
      <c r="M60" s="4615"/>
      <c r="N60" s="4615"/>
      <c r="O60" s="4615"/>
    </row>
    <row r="61" spans="10:15">
      <c r="J61" s="4614" t="s">
        <v>4020</v>
      </c>
      <c r="K61" s="4614" t="s">
        <v>4021</v>
      </c>
      <c r="L61" s="4614" t="s">
        <v>4022</v>
      </c>
      <c r="M61" s="4614" t="s">
        <v>4023</v>
      </c>
      <c r="N61" s="4614" t="s">
        <v>4024</v>
      </c>
      <c r="O61" s="4614" t="s">
        <v>4016</v>
      </c>
    </row>
    <row r="62" spans="10:15">
      <c r="J62" s="4614" t="s">
        <v>4025</v>
      </c>
      <c r="K62" s="4618" t="s">
        <v>4058</v>
      </c>
      <c r="L62" s="4614" t="s">
        <v>4026</v>
      </c>
      <c r="M62" s="4614" t="s">
        <v>4026</v>
      </c>
      <c r="N62" s="4614" t="s">
        <v>4027</v>
      </c>
      <c r="O62" s="4614" t="s">
        <v>4027</v>
      </c>
    </row>
    <row r="63" spans="10:15">
      <c r="J63" s="4614" t="s">
        <v>4028</v>
      </c>
      <c r="K63" s="4614" t="s">
        <v>4029</v>
      </c>
      <c r="L63" s="4614" t="s">
        <v>4030</v>
      </c>
      <c r="M63" s="4614" t="s">
        <v>4030</v>
      </c>
      <c r="N63" s="4614" t="s">
        <v>4031</v>
      </c>
      <c r="O63" s="4614" t="s">
        <v>4031</v>
      </c>
    </row>
    <row r="67" spans="10:15">
      <c r="J67" s="4615" t="s">
        <v>4032</v>
      </c>
      <c r="K67" s="4615"/>
      <c r="L67" s="4615"/>
      <c r="M67" s="4615"/>
      <c r="N67" s="4615"/>
      <c r="O67" s="4615"/>
    </row>
    <row r="68" spans="10:15">
      <c r="J68" s="4614" t="s">
        <v>4020</v>
      </c>
      <c r="K68" s="4614" t="s">
        <v>4033</v>
      </c>
      <c r="L68" s="5058" t="s">
        <v>4034</v>
      </c>
      <c r="M68" s="5058"/>
      <c r="N68" s="5058"/>
      <c r="O68" s="4614" t="s">
        <v>3998</v>
      </c>
    </row>
    <row r="69" spans="10:15" ht="26.4">
      <c r="J69" s="4614" t="s">
        <v>4035</v>
      </c>
      <c r="K69" s="4619" t="s">
        <v>4036</v>
      </c>
      <c r="L69" s="5057" t="s">
        <v>4037</v>
      </c>
      <c r="M69" s="5057"/>
      <c r="N69" s="5057"/>
      <c r="O69" s="4614"/>
    </row>
    <row r="70" spans="10:15" ht="26.4">
      <c r="J70" s="4614" t="s">
        <v>4038</v>
      </c>
      <c r="K70" s="4619" t="s">
        <v>4039</v>
      </c>
      <c r="L70" s="5057" t="s">
        <v>4040</v>
      </c>
      <c r="M70" s="5057"/>
      <c r="N70" s="5057"/>
      <c r="O70" s="4614"/>
    </row>
    <row r="71" spans="10:15" ht="26.4">
      <c r="J71" s="4614" t="s">
        <v>4041</v>
      </c>
      <c r="K71" s="4619" t="s">
        <v>4042</v>
      </c>
      <c r="L71" s="5057" t="s">
        <v>4043</v>
      </c>
      <c r="M71" s="5057"/>
      <c r="N71" s="5057"/>
      <c r="O71" s="4614"/>
    </row>
    <row r="72" spans="10:15" ht="27" customHeight="1">
      <c r="J72" s="4614" t="s">
        <v>4044</v>
      </c>
      <c r="K72" s="4619" t="s">
        <v>4045</v>
      </c>
      <c r="L72" s="5057" t="s">
        <v>4057</v>
      </c>
      <c r="M72" s="5057"/>
      <c r="N72" s="5057"/>
      <c r="O72" s="4614"/>
    </row>
    <row r="73" spans="10:15" ht="30" customHeight="1">
      <c r="J73" s="4614" t="s">
        <v>4046</v>
      </c>
      <c r="K73" s="4619" t="s">
        <v>4047</v>
      </c>
      <c r="L73" s="5057" t="s">
        <v>4048</v>
      </c>
      <c r="M73" s="5057"/>
      <c r="N73" s="5057"/>
      <c r="O73" s="4614" t="s">
        <v>2202</v>
      </c>
    </row>
    <row r="74" spans="10:15" ht="57.75" customHeight="1">
      <c r="J74" s="4614" t="s">
        <v>4049</v>
      </c>
      <c r="K74" s="4619" t="s">
        <v>4050</v>
      </c>
      <c r="L74" s="5057" t="s">
        <v>4051</v>
      </c>
      <c r="M74" s="5057"/>
      <c r="N74" s="5057"/>
      <c r="O74" s="4614" t="s">
        <v>4052</v>
      </c>
    </row>
    <row r="75" spans="10:15" ht="32.25" customHeight="1">
      <c r="J75" s="4614" t="s">
        <v>4053</v>
      </c>
      <c r="K75" s="4619" t="s">
        <v>4054</v>
      </c>
      <c r="L75" s="5057" t="s">
        <v>4055</v>
      </c>
      <c r="M75" s="5057"/>
      <c r="N75" s="5057"/>
      <c r="O75" s="461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70" t="s">
        <v>2494</v>
      </c>
      <c r="B20" s="5063" t="s">
        <v>2515</v>
      </c>
      <c r="C20" s="2724" t="s">
        <v>2326</v>
      </c>
      <c r="D20" s="2724"/>
      <c r="E20" s="3303">
        <v>1</v>
      </c>
      <c r="F20" s="2440" t="s">
        <v>2327</v>
      </c>
      <c r="G20" s="2440"/>
    </row>
    <row r="21" spans="1:13" ht="19.5" customHeight="1">
      <c r="A21" s="5071"/>
      <c r="B21" s="5059"/>
      <c r="C21" s="2717" t="s">
        <v>2328</v>
      </c>
      <c r="D21" s="2717"/>
      <c r="E21" s="3304">
        <v>1</v>
      </c>
      <c r="F21" s="2440" t="s">
        <v>2329</v>
      </c>
      <c r="G21" s="2440"/>
    </row>
    <row r="22" spans="1:13" ht="19.5" customHeight="1">
      <c r="A22" s="5071"/>
      <c r="B22" s="5059"/>
      <c r="C22" s="2717" t="s">
        <v>2330</v>
      </c>
      <c r="D22" s="2717"/>
      <c r="E22" s="3304">
        <v>0.9</v>
      </c>
      <c r="F22" s="2440" t="s">
        <v>2331</v>
      </c>
      <c r="G22" s="2440"/>
    </row>
    <row r="23" spans="1:13" ht="19.5" customHeight="1">
      <c r="A23" s="5071"/>
      <c r="B23" s="5059"/>
      <c r="C23" s="2717" t="s">
        <v>2332</v>
      </c>
      <c r="D23" s="2717"/>
      <c r="E23" s="3304">
        <v>0.9</v>
      </c>
      <c r="F23" s="2440" t="s">
        <v>2333</v>
      </c>
      <c r="G23" s="2440"/>
    </row>
    <row r="24" spans="1:13" ht="19.5" customHeight="1">
      <c r="A24" s="5071"/>
      <c r="B24" s="5059"/>
      <c r="C24" s="2717" t="s">
        <v>2334</v>
      </c>
      <c r="D24" s="2717"/>
      <c r="E24" s="3304">
        <v>0.8</v>
      </c>
      <c r="F24" s="2440" t="s">
        <v>2335</v>
      </c>
      <c r="G24" s="2440"/>
    </row>
    <row r="25" spans="1:13" ht="19.5" customHeight="1">
      <c r="A25" s="5071"/>
      <c r="B25" s="5059"/>
      <c r="C25" s="2717" t="s">
        <v>2336</v>
      </c>
      <c r="D25" s="2717"/>
      <c r="E25" s="3304">
        <v>0.8</v>
      </c>
      <c r="F25" s="2440"/>
      <c r="G25" s="2440"/>
    </row>
    <row r="26" spans="1:13" ht="19.5" customHeight="1">
      <c r="A26" s="5071"/>
      <c r="B26" s="5059"/>
      <c r="C26" s="2720" t="s">
        <v>3275</v>
      </c>
      <c r="D26" s="2720"/>
      <c r="E26" s="3304">
        <v>0.43</v>
      </c>
      <c r="F26" s="2440"/>
      <c r="G26" s="2440"/>
    </row>
    <row r="27" spans="1:13" ht="19.5" customHeight="1" thickBot="1">
      <c r="A27" s="5072"/>
      <c r="B27" s="5064"/>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65" t="s">
        <v>2518</v>
      </c>
      <c r="B29" s="5068" t="s">
        <v>2499</v>
      </c>
      <c r="C29" s="2438" t="s">
        <v>2339</v>
      </c>
      <c r="D29" s="2439"/>
      <c r="E29" s="3303">
        <v>1</v>
      </c>
      <c r="F29" s="2440" t="s">
        <v>2340</v>
      </c>
      <c r="G29" s="2440"/>
    </row>
    <row r="30" spans="1:13" ht="19.5" customHeight="1">
      <c r="A30" s="5066"/>
      <c r="B30" s="5062"/>
      <c r="C30" s="2441" t="s">
        <v>2341</v>
      </c>
      <c r="D30" s="2442"/>
      <c r="E30" s="3304">
        <v>1</v>
      </c>
      <c r="F30" s="2440" t="s">
        <v>2342</v>
      </c>
      <c r="G30" s="2440"/>
    </row>
    <row r="31" spans="1:13" ht="19.5" customHeight="1">
      <c r="A31" s="5066"/>
      <c r="B31" s="5062"/>
      <c r="C31" s="2441" t="s">
        <v>2343</v>
      </c>
      <c r="D31" s="2442"/>
      <c r="E31" s="3304">
        <v>0.8</v>
      </c>
      <c r="F31" s="2440" t="s">
        <v>2344</v>
      </c>
      <c r="G31" s="2440"/>
    </row>
    <row r="32" spans="1:13" ht="19.5" customHeight="1">
      <c r="A32" s="5066"/>
      <c r="B32" s="5062"/>
      <c r="C32" s="2441" t="s">
        <v>2345</v>
      </c>
      <c r="D32" s="2442"/>
      <c r="E32" s="3304">
        <v>0.8</v>
      </c>
      <c r="F32" s="2440" t="s">
        <v>2346</v>
      </c>
      <c r="G32" s="2440"/>
    </row>
    <row r="33" spans="1:7" ht="19.5" customHeight="1">
      <c r="A33" s="5066"/>
      <c r="B33" s="5062"/>
      <c r="C33" s="2441" t="s">
        <v>2347</v>
      </c>
      <c r="D33" s="2442"/>
      <c r="E33" s="3304">
        <v>0.8</v>
      </c>
      <c r="F33" s="2440" t="s">
        <v>2348</v>
      </c>
      <c r="G33" s="2440"/>
    </row>
    <row r="34" spans="1:7" ht="19.5" customHeight="1">
      <c r="A34" s="5066"/>
      <c r="B34" s="5062"/>
      <c r="C34" s="2441" t="s">
        <v>2349</v>
      </c>
      <c r="D34" s="2442"/>
      <c r="E34" s="3304">
        <v>0.7</v>
      </c>
      <c r="F34" s="2440" t="s">
        <v>2350</v>
      </c>
      <c r="G34" s="2440"/>
    </row>
    <row r="35" spans="1:7" ht="19.5" customHeight="1">
      <c r="A35" s="5066"/>
      <c r="B35" s="5062"/>
      <c r="C35" s="2441" t="s">
        <v>2351</v>
      </c>
      <c r="D35" s="2442"/>
      <c r="E35" s="3304">
        <v>0.8</v>
      </c>
      <c r="F35" s="2440" t="s">
        <v>2352</v>
      </c>
      <c r="G35" s="2440"/>
    </row>
    <row r="36" spans="1:7" ht="19.5" customHeight="1">
      <c r="A36" s="5066"/>
      <c r="B36" s="5062"/>
      <c r="C36" s="2441" t="s">
        <v>2353</v>
      </c>
      <c r="D36" s="2442"/>
      <c r="E36" s="3304">
        <v>0.6</v>
      </c>
      <c r="F36" s="2440" t="s">
        <v>2354</v>
      </c>
      <c r="G36" s="2440"/>
    </row>
    <row r="37" spans="1:7" ht="19.5" customHeight="1">
      <c r="A37" s="5066"/>
      <c r="B37" s="5062"/>
      <c r="C37" s="2441" t="s">
        <v>2355</v>
      </c>
      <c r="D37" s="2442"/>
      <c r="E37" s="3304">
        <v>0.2</v>
      </c>
      <c r="F37" s="2440" t="s">
        <v>2356</v>
      </c>
      <c r="G37" s="2440"/>
    </row>
    <row r="38" spans="1:7" ht="19.5" customHeight="1">
      <c r="A38" s="5066"/>
      <c r="B38" s="5062"/>
      <c r="C38" s="2441" t="s">
        <v>2357</v>
      </c>
      <c r="D38" s="2442"/>
      <c r="E38" s="3304">
        <v>0.2</v>
      </c>
      <c r="F38" s="2440" t="s">
        <v>2358</v>
      </c>
      <c r="G38" s="2440"/>
    </row>
    <row r="39" spans="1:7" ht="19.5" customHeight="1">
      <c r="A39" s="5066"/>
      <c r="B39" s="5060" t="s">
        <v>2519</v>
      </c>
      <c r="C39" s="2441" t="s">
        <v>2359</v>
      </c>
      <c r="D39" s="2442"/>
      <c r="E39" s="3304">
        <v>0.6</v>
      </c>
      <c r="F39" s="2440" t="s">
        <v>2360</v>
      </c>
      <c r="G39" s="2440"/>
    </row>
    <row r="40" spans="1:7" ht="19.5" customHeight="1">
      <c r="A40" s="5066"/>
      <c r="B40" s="5062"/>
      <c r="C40" s="2441" t="s">
        <v>2361</v>
      </c>
      <c r="D40" s="2442"/>
      <c r="E40" s="3304">
        <v>0.6</v>
      </c>
      <c r="F40" s="2440" t="s">
        <v>2362</v>
      </c>
      <c r="G40" s="2440"/>
    </row>
    <row r="41" spans="1:7" ht="19.5" customHeight="1" thickBot="1">
      <c r="A41" s="5067"/>
      <c r="B41" s="5069"/>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70" t="s">
        <v>2497</v>
      </c>
      <c r="B43" s="5068" t="s">
        <v>2521</v>
      </c>
      <c r="C43" s="2438" t="s">
        <v>2366</v>
      </c>
      <c r="D43" s="2439"/>
      <c r="E43" s="3303">
        <v>1</v>
      </c>
      <c r="F43" s="2440" t="s">
        <v>2367</v>
      </c>
      <c r="G43" s="2440"/>
    </row>
    <row r="44" spans="1:7" ht="19.5" customHeight="1">
      <c r="A44" s="5071"/>
      <c r="B44" s="5062"/>
      <c r="C44" s="2441" t="s">
        <v>2368</v>
      </c>
      <c r="D44" s="2442"/>
      <c r="E44" s="3304">
        <v>1</v>
      </c>
      <c r="F44" s="2440" t="s">
        <v>2369</v>
      </c>
      <c r="G44" s="2440"/>
    </row>
    <row r="45" spans="1:7" ht="19.5" customHeight="1">
      <c r="A45" s="5071"/>
      <c r="B45" s="5061"/>
      <c r="C45" s="2441" t="s">
        <v>2370</v>
      </c>
      <c r="D45" s="2442"/>
      <c r="E45" s="3304">
        <v>1.5</v>
      </c>
      <c r="F45" s="2440" t="s">
        <v>2371</v>
      </c>
      <c r="G45" s="2440"/>
    </row>
    <row r="46" spans="1:7" ht="19.5" customHeight="1">
      <c r="A46" s="5071"/>
      <c r="B46" s="2449" t="s">
        <v>2522</v>
      </c>
      <c r="C46" s="2441" t="s">
        <v>2523</v>
      </c>
      <c r="D46" s="2442"/>
      <c r="E46" s="3304">
        <v>2</v>
      </c>
      <c r="F46" s="2440" t="s">
        <v>2372</v>
      </c>
      <c r="G46" s="2440"/>
    </row>
    <row r="47" spans="1:7" ht="19.5" customHeight="1">
      <c r="A47" s="5071"/>
      <c r="B47" s="5060" t="s">
        <v>2524</v>
      </c>
      <c r="C47" s="2441" t="s">
        <v>2373</v>
      </c>
      <c r="D47" s="2442"/>
      <c r="E47" s="3304">
        <v>1</v>
      </c>
      <c r="F47" s="2440" t="s">
        <v>2374</v>
      </c>
      <c r="G47" s="2440"/>
    </row>
    <row r="48" spans="1:7" ht="19.5" customHeight="1">
      <c r="A48" s="5071"/>
      <c r="B48" s="5062"/>
      <c r="C48" s="2441" t="s">
        <v>2375</v>
      </c>
      <c r="D48" s="2442"/>
      <c r="E48" s="3304">
        <v>1</v>
      </c>
      <c r="F48" s="2440" t="s">
        <v>2376</v>
      </c>
      <c r="G48" s="2440"/>
    </row>
    <row r="49" spans="1:7" ht="19.5" customHeight="1">
      <c r="A49" s="5071"/>
      <c r="B49" s="5062"/>
      <c r="C49" s="2441" t="s">
        <v>2377</v>
      </c>
      <c r="D49" s="2442"/>
      <c r="E49" s="3304">
        <v>1</v>
      </c>
      <c r="F49" s="2440" t="s">
        <v>2378</v>
      </c>
      <c r="G49" s="2440"/>
    </row>
    <row r="50" spans="1:7" ht="19.5" customHeight="1">
      <c r="A50" s="5071"/>
      <c r="B50" s="5062"/>
      <c r="C50" s="2441" t="s">
        <v>2379</v>
      </c>
      <c r="D50" s="2442"/>
      <c r="E50" s="3304">
        <v>1</v>
      </c>
      <c r="F50" s="2440" t="s">
        <v>2380</v>
      </c>
      <c r="G50" s="2440"/>
    </row>
    <row r="51" spans="1:7" ht="19.5" customHeight="1">
      <c r="A51" s="5071"/>
      <c r="B51" s="5062"/>
      <c r="C51" s="2441" t="s">
        <v>2381</v>
      </c>
      <c r="D51" s="2442"/>
      <c r="E51" s="3304">
        <v>1</v>
      </c>
      <c r="F51" s="2440" t="s">
        <v>2382</v>
      </c>
      <c r="G51" s="2440"/>
    </row>
    <row r="52" spans="1:7" ht="19.5" customHeight="1">
      <c r="A52" s="5071"/>
      <c r="B52" s="5062"/>
      <c r="C52" s="2441" t="s">
        <v>2383</v>
      </c>
      <c r="D52" s="2442"/>
      <c r="E52" s="3304">
        <v>1</v>
      </c>
      <c r="F52" s="2440" t="s">
        <v>2384</v>
      </c>
      <c r="G52" s="2440"/>
    </row>
    <row r="53" spans="1:7" ht="19.5" customHeight="1" thickBot="1">
      <c r="A53" s="5072"/>
      <c r="B53" s="5069"/>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4.4">
      <c r="A74" s="2449"/>
      <c r="B74" s="2449"/>
      <c r="C74" s="2449" t="s">
        <v>2537</v>
      </c>
      <c r="D74" s="2449"/>
      <c r="E74" s="2449" t="s">
        <v>2508</v>
      </c>
      <c r="F74" s="2449" t="s">
        <v>2508</v>
      </c>
    </row>
    <row r="75" spans="1:7" ht="14.4">
      <c r="A75" s="2449">
        <v>1</v>
      </c>
      <c r="B75" s="5060" t="s">
        <v>2538</v>
      </c>
      <c r="C75" s="2429" t="s">
        <v>2539</v>
      </c>
      <c r="D75" s="2429" t="s">
        <v>2540</v>
      </c>
      <c r="E75" s="3309">
        <v>0.2</v>
      </c>
      <c r="F75" s="3310">
        <v>25</v>
      </c>
    </row>
    <row r="76" spans="1:7" ht="24">
      <c r="A76" s="2449">
        <v>2</v>
      </c>
      <c r="B76" s="5062"/>
      <c r="C76" s="2429" t="s">
        <v>2541</v>
      </c>
      <c r="D76" s="2429" t="s">
        <v>2542</v>
      </c>
      <c r="E76" s="3309">
        <v>0.2</v>
      </c>
      <c r="F76" s="3310">
        <v>25</v>
      </c>
    </row>
    <row r="77" spans="1:7" ht="24">
      <c r="A77" s="2449">
        <v>3</v>
      </c>
      <c r="B77" s="5062"/>
      <c r="C77" s="2429" t="s">
        <v>2543</v>
      </c>
      <c r="D77" s="2429" t="s">
        <v>2544</v>
      </c>
      <c r="E77" s="3309">
        <v>0.2</v>
      </c>
      <c r="F77" s="3310">
        <v>25</v>
      </c>
    </row>
    <row r="78" spans="1:7" ht="14.4">
      <c r="A78" s="2449">
        <v>4</v>
      </c>
      <c r="B78" s="5062"/>
      <c r="C78" s="2429" t="s">
        <v>2545</v>
      </c>
      <c r="D78" s="2429" t="s">
        <v>2546</v>
      </c>
      <c r="E78" s="3309">
        <v>0.15</v>
      </c>
      <c r="F78" s="3310">
        <v>20</v>
      </c>
    </row>
    <row r="79" spans="1:7" ht="24">
      <c r="A79" s="2449">
        <v>5</v>
      </c>
      <c r="B79" s="5062"/>
      <c r="C79" s="2429" t="s">
        <v>2547</v>
      </c>
      <c r="D79" s="2429" t="s">
        <v>2548</v>
      </c>
      <c r="E79" s="3309">
        <v>0.15</v>
      </c>
      <c r="F79" s="3310">
        <v>20</v>
      </c>
    </row>
    <row r="80" spans="1:7" ht="24">
      <c r="A80" s="2449">
        <v>6</v>
      </c>
      <c r="B80" s="5062"/>
      <c r="C80" s="2429" t="s">
        <v>2549</v>
      </c>
      <c r="D80" s="2429" t="s">
        <v>2550</v>
      </c>
      <c r="E80" s="3309">
        <v>0.15</v>
      </c>
      <c r="F80" s="3310">
        <v>20</v>
      </c>
    </row>
    <row r="81" spans="1:6" ht="24">
      <c r="A81" s="2449">
        <v>7</v>
      </c>
      <c r="B81" s="5062"/>
      <c r="C81" s="2429" t="s">
        <v>2551</v>
      </c>
      <c r="D81" s="2429" t="s">
        <v>2552</v>
      </c>
      <c r="E81" s="3309">
        <v>0.15</v>
      </c>
      <c r="F81" s="3310">
        <v>20</v>
      </c>
    </row>
    <row r="82" spans="1:6" ht="24">
      <c r="A82" s="2449">
        <v>8</v>
      </c>
      <c r="B82" s="5062"/>
      <c r="C82" s="2429" t="s">
        <v>2553</v>
      </c>
      <c r="D82" s="2429" t="s">
        <v>2554</v>
      </c>
      <c r="E82" s="3309">
        <v>0.1</v>
      </c>
      <c r="F82" s="3310">
        <v>15</v>
      </c>
    </row>
    <row r="83" spans="1:6" ht="24">
      <c r="A83" s="2449">
        <v>9</v>
      </c>
      <c r="B83" s="5062"/>
      <c r="C83" s="2429" t="s">
        <v>2555</v>
      </c>
      <c r="D83" s="2429" t="s">
        <v>2556</v>
      </c>
      <c r="E83" s="3309">
        <v>0.1</v>
      </c>
      <c r="F83" s="3310">
        <v>15</v>
      </c>
    </row>
    <row r="84" spans="1:6" ht="24">
      <c r="A84" s="2449">
        <v>10</v>
      </c>
      <c r="B84" s="5062"/>
      <c r="C84" s="2429" t="s">
        <v>2557</v>
      </c>
      <c r="D84" s="2429" t="s">
        <v>2558</v>
      </c>
      <c r="E84" s="3309">
        <v>0.1</v>
      </c>
      <c r="F84" s="3310">
        <v>15</v>
      </c>
    </row>
    <row r="85" spans="1:6" ht="24">
      <c r="A85" s="2449">
        <v>11</v>
      </c>
      <c r="B85" s="5062"/>
      <c r="C85" s="2429" t="s">
        <v>2559</v>
      </c>
      <c r="D85" s="2429" t="s">
        <v>2560</v>
      </c>
      <c r="E85" s="3309">
        <v>0.1</v>
      </c>
      <c r="F85" s="3310">
        <v>15</v>
      </c>
    </row>
    <row r="86" spans="1:6" ht="24">
      <c r="A86" s="2449">
        <v>12</v>
      </c>
      <c r="B86" s="5062"/>
      <c r="C86" s="2429" t="s">
        <v>2561</v>
      </c>
      <c r="D86" s="2429" t="s">
        <v>2562</v>
      </c>
      <c r="E86" s="3309">
        <v>0.1</v>
      </c>
      <c r="F86" s="3310">
        <v>15</v>
      </c>
    </row>
    <row r="87" spans="1:6" ht="24">
      <c r="A87" s="2449">
        <v>13</v>
      </c>
      <c r="B87" s="5062"/>
      <c r="C87" s="2429" t="s">
        <v>2563</v>
      </c>
      <c r="D87" s="2429" t="s">
        <v>2564</v>
      </c>
      <c r="E87" s="3309">
        <v>0.1</v>
      </c>
      <c r="F87" s="3310">
        <v>15</v>
      </c>
    </row>
    <row r="88" spans="1:6" ht="24">
      <c r="A88" s="2449">
        <v>14</v>
      </c>
      <c r="B88" s="5062"/>
      <c r="C88" s="2429" t="s">
        <v>2565</v>
      </c>
      <c r="D88" s="2429" t="s">
        <v>2566</v>
      </c>
      <c r="E88" s="3309">
        <v>0.1</v>
      </c>
      <c r="F88" s="3310">
        <v>15</v>
      </c>
    </row>
    <row r="89" spans="1:6" ht="24">
      <c r="A89" s="2449">
        <v>15</v>
      </c>
      <c r="B89" s="5062"/>
      <c r="C89" s="2429" t="s">
        <v>2567</v>
      </c>
      <c r="D89" s="2429" t="s">
        <v>2568</v>
      </c>
      <c r="E89" s="3309">
        <v>0.1</v>
      </c>
      <c r="F89" s="3310">
        <v>15</v>
      </c>
    </row>
    <row r="90" spans="1:6" ht="24">
      <c r="A90" s="2449">
        <v>16</v>
      </c>
      <c r="B90" s="5062"/>
      <c r="C90" s="2429" t="s">
        <v>2569</v>
      </c>
      <c r="D90" s="2429" t="s">
        <v>2570</v>
      </c>
      <c r="E90" s="3309">
        <v>0.1</v>
      </c>
      <c r="F90" s="3310">
        <v>15</v>
      </c>
    </row>
    <row r="91" spans="1:6" ht="24">
      <c r="A91" s="2449">
        <v>17</v>
      </c>
      <c r="B91" s="5061"/>
      <c r="C91" s="2429" t="s">
        <v>2571</v>
      </c>
      <c r="D91" s="2429" t="s">
        <v>2572</v>
      </c>
      <c r="E91" s="3309">
        <v>0.1</v>
      </c>
      <c r="F91" s="3310">
        <v>15</v>
      </c>
    </row>
    <row r="92" spans="1:6" ht="14.4">
      <c r="A92" s="2449">
        <v>18</v>
      </c>
      <c r="B92" s="5060" t="s">
        <v>2573</v>
      </c>
      <c r="C92" s="2429" t="s">
        <v>2574</v>
      </c>
      <c r="D92" s="2429" t="s">
        <v>2575</v>
      </c>
      <c r="E92" s="3309">
        <v>0.2</v>
      </c>
      <c r="F92" s="3310">
        <v>25</v>
      </c>
    </row>
    <row r="93" spans="1:6" ht="24">
      <c r="A93" s="2449">
        <v>19</v>
      </c>
      <c r="B93" s="5062"/>
      <c r="C93" s="2429" t="s">
        <v>2576</v>
      </c>
      <c r="D93" s="2429" t="s">
        <v>2577</v>
      </c>
      <c r="E93" s="3309">
        <v>0.2</v>
      </c>
      <c r="F93" s="3310">
        <v>25</v>
      </c>
    </row>
    <row r="94" spans="1:6" ht="14.4">
      <c r="A94" s="2449">
        <v>20</v>
      </c>
      <c r="B94" s="5062"/>
      <c r="C94" s="2429" t="s">
        <v>2578</v>
      </c>
      <c r="D94" s="2429" t="s">
        <v>2579</v>
      </c>
      <c r="E94" s="3309">
        <v>0.15</v>
      </c>
      <c r="F94" s="3310">
        <v>20</v>
      </c>
    </row>
    <row r="95" spans="1:6" ht="24">
      <c r="A95" s="2449">
        <v>21</v>
      </c>
      <c r="B95" s="5062"/>
      <c r="C95" s="2429" t="s">
        <v>2580</v>
      </c>
      <c r="D95" s="2429" t="s">
        <v>2581</v>
      </c>
      <c r="E95" s="3309">
        <v>0.15</v>
      </c>
      <c r="F95" s="3310">
        <v>20</v>
      </c>
    </row>
    <row r="96" spans="1:6" ht="24">
      <c r="A96" s="2449">
        <v>22</v>
      </c>
      <c r="B96" s="5062"/>
      <c r="C96" s="2429" t="s">
        <v>2582</v>
      </c>
      <c r="D96" s="2429" t="s">
        <v>2583</v>
      </c>
      <c r="E96" s="3309">
        <v>0.15</v>
      </c>
      <c r="F96" s="3310">
        <v>20</v>
      </c>
    </row>
    <row r="97" spans="1:6" ht="36">
      <c r="A97" s="2449">
        <v>23</v>
      </c>
      <c r="B97" s="5062"/>
      <c r="C97" s="2429" t="s">
        <v>2584</v>
      </c>
      <c r="D97" s="2429" t="s">
        <v>2585</v>
      </c>
      <c r="E97" s="3309">
        <v>0.15</v>
      </c>
      <c r="F97" s="3310">
        <v>20</v>
      </c>
    </row>
    <row r="98" spans="1:6" ht="24">
      <c r="A98" s="2449">
        <v>24</v>
      </c>
      <c r="B98" s="5062"/>
      <c r="C98" s="2429" t="s">
        <v>2586</v>
      </c>
      <c r="D98" s="2429" t="s">
        <v>2587</v>
      </c>
      <c r="E98" s="3309">
        <v>0.1</v>
      </c>
      <c r="F98" s="3310">
        <v>15</v>
      </c>
    </row>
    <row r="99" spans="1:6" ht="24">
      <c r="A99" s="2449">
        <v>25</v>
      </c>
      <c r="B99" s="5062"/>
      <c r="C99" s="2429" t="s">
        <v>2588</v>
      </c>
      <c r="D99" s="2429" t="s">
        <v>2589</v>
      </c>
      <c r="E99" s="3309">
        <v>0.1</v>
      </c>
      <c r="F99" s="3310">
        <v>15</v>
      </c>
    </row>
    <row r="100" spans="1:6" ht="24">
      <c r="A100" s="2449">
        <v>26</v>
      </c>
      <c r="B100" s="5062"/>
      <c r="C100" s="2429" t="s">
        <v>2590</v>
      </c>
      <c r="D100" s="2429" t="s">
        <v>2591</v>
      </c>
      <c r="E100" s="3309">
        <v>0.1</v>
      </c>
      <c r="F100" s="3310">
        <v>15</v>
      </c>
    </row>
    <row r="101" spans="1:6" ht="24">
      <c r="A101" s="2449">
        <v>27</v>
      </c>
      <c r="B101" s="5062"/>
      <c r="C101" s="2429" t="s">
        <v>2592</v>
      </c>
      <c r="D101" s="2429" t="s">
        <v>2593</v>
      </c>
      <c r="E101" s="3309">
        <v>0.1</v>
      </c>
      <c r="F101" s="3310">
        <v>15</v>
      </c>
    </row>
    <row r="102" spans="1:6" ht="24">
      <c r="A102" s="2449">
        <v>28</v>
      </c>
      <c r="B102" s="5062"/>
      <c r="C102" s="2429" t="s">
        <v>2594</v>
      </c>
      <c r="D102" s="2429" t="s">
        <v>2595</v>
      </c>
      <c r="E102" s="3309">
        <v>0.1</v>
      </c>
      <c r="F102" s="3310">
        <v>15</v>
      </c>
    </row>
    <row r="103" spans="1:6" ht="24">
      <c r="A103" s="2449">
        <v>29</v>
      </c>
      <c r="B103" s="5062"/>
      <c r="C103" s="2429" t="s">
        <v>2596</v>
      </c>
      <c r="D103" s="2429" t="s">
        <v>2597</v>
      </c>
      <c r="E103" s="3309">
        <v>0.1</v>
      </c>
      <c r="F103" s="3310">
        <v>15</v>
      </c>
    </row>
    <row r="104" spans="1:6" ht="24">
      <c r="A104" s="2449">
        <v>30</v>
      </c>
      <c r="B104" s="5062"/>
      <c r="C104" s="2429" t="s">
        <v>2598</v>
      </c>
      <c r="D104" s="2429" t="s">
        <v>2599</v>
      </c>
      <c r="E104" s="3309">
        <v>0.1</v>
      </c>
      <c r="F104" s="3310">
        <v>15</v>
      </c>
    </row>
    <row r="105" spans="1:6" ht="24">
      <c r="A105" s="2449">
        <v>31</v>
      </c>
      <c r="B105" s="5062"/>
      <c r="C105" s="2429" t="s">
        <v>2600</v>
      </c>
      <c r="D105" s="2429" t="s">
        <v>2601</v>
      </c>
      <c r="E105" s="3309">
        <v>0.1</v>
      </c>
      <c r="F105" s="3310">
        <v>15</v>
      </c>
    </row>
    <row r="106" spans="1:6" ht="24">
      <c r="A106" s="2449">
        <v>32</v>
      </c>
      <c r="B106" s="5062"/>
      <c r="C106" s="2429" t="s">
        <v>2602</v>
      </c>
      <c r="D106" s="2429" t="s">
        <v>2603</v>
      </c>
      <c r="E106" s="3309">
        <v>0.1</v>
      </c>
      <c r="F106" s="3310">
        <v>15</v>
      </c>
    </row>
    <row r="107" spans="1:6" ht="24">
      <c r="A107" s="2449">
        <v>33</v>
      </c>
      <c r="B107" s="5062"/>
      <c r="C107" s="2429" t="s">
        <v>2604</v>
      </c>
      <c r="D107" s="2429" t="s">
        <v>2605</v>
      </c>
      <c r="E107" s="3309">
        <v>0.1</v>
      </c>
      <c r="F107" s="3310">
        <v>15</v>
      </c>
    </row>
    <row r="108" spans="1:6" ht="24">
      <c r="A108" s="2449">
        <v>34</v>
      </c>
      <c r="B108" s="5061"/>
      <c r="C108" s="2429" t="s">
        <v>2606</v>
      </c>
      <c r="D108" s="2429" t="s">
        <v>2607</v>
      </c>
      <c r="E108" s="3309">
        <v>0.1</v>
      </c>
      <c r="F108" s="3310">
        <v>15</v>
      </c>
    </row>
    <row r="109" spans="1:6" ht="36">
      <c r="A109" s="2449">
        <v>35</v>
      </c>
      <c r="B109" s="5060" t="s">
        <v>2608</v>
      </c>
      <c r="C109" s="2449" t="s">
        <v>2609</v>
      </c>
      <c r="D109" s="2429" t="s">
        <v>2610</v>
      </c>
      <c r="E109" s="3309">
        <v>0.15</v>
      </c>
      <c r="F109" s="3310">
        <v>20</v>
      </c>
    </row>
    <row r="110" spans="1:6" ht="24">
      <c r="A110" s="2449">
        <v>36</v>
      </c>
      <c r="B110" s="5062"/>
      <c r="C110" s="2449" t="s">
        <v>2611</v>
      </c>
      <c r="D110" s="2429" t="s">
        <v>2612</v>
      </c>
      <c r="E110" s="3309">
        <v>0.15</v>
      </c>
      <c r="F110" s="3310">
        <v>20</v>
      </c>
    </row>
    <row r="111" spans="1:6" ht="24">
      <c r="A111" s="2449">
        <v>37</v>
      </c>
      <c r="B111" s="5062"/>
      <c r="C111" s="2449" t="s">
        <v>2613</v>
      </c>
      <c r="D111" s="2429" t="s">
        <v>2614</v>
      </c>
      <c r="E111" s="3309">
        <v>0.15</v>
      </c>
      <c r="F111" s="3310">
        <v>20</v>
      </c>
    </row>
    <row r="112" spans="1:6" ht="24">
      <c r="A112" s="2449">
        <v>38</v>
      </c>
      <c r="B112" s="5062"/>
      <c r="C112" s="2449" t="s">
        <v>2615</v>
      </c>
      <c r="D112" s="2429" t="s">
        <v>2616</v>
      </c>
      <c r="E112" s="3309">
        <v>0.1</v>
      </c>
      <c r="F112" s="3310">
        <v>15</v>
      </c>
    </row>
    <row r="113" spans="1:6" ht="24">
      <c r="A113" s="2449">
        <v>39</v>
      </c>
      <c r="B113" s="5062"/>
      <c r="C113" s="2449" t="s">
        <v>2617</v>
      </c>
      <c r="D113" s="2429" t="s">
        <v>2618</v>
      </c>
      <c r="E113" s="3309">
        <v>0.1</v>
      </c>
      <c r="F113" s="3310">
        <v>15</v>
      </c>
    </row>
    <row r="114" spans="1:6" ht="24">
      <c r="A114" s="2449">
        <v>40</v>
      </c>
      <c r="B114" s="5061"/>
      <c r="C114" s="2449" t="s">
        <v>2619</v>
      </c>
      <c r="D114" s="2429" t="s">
        <v>2620</v>
      </c>
      <c r="E114" s="3309">
        <v>0.1</v>
      </c>
      <c r="F114" s="3310">
        <v>15</v>
      </c>
    </row>
    <row r="115" spans="1:6" ht="24">
      <c r="A115" s="2449">
        <v>41</v>
      </c>
      <c r="B115" s="5059" t="s">
        <v>2621</v>
      </c>
      <c r="C115" s="2449" t="s">
        <v>2622</v>
      </c>
      <c r="D115" s="2429" t="s">
        <v>2623</v>
      </c>
      <c r="E115" s="3309">
        <v>0.1</v>
      </c>
      <c r="F115" s="3310">
        <v>15</v>
      </c>
    </row>
    <row r="116" spans="1:6" ht="24">
      <c r="A116" s="2449">
        <v>42</v>
      </c>
      <c r="B116" s="5059"/>
      <c r="C116" s="2449" t="s">
        <v>2624</v>
      </c>
      <c r="D116" s="2429" t="s">
        <v>2625</v>
      </c>
      <c r="E116" s="3309">
        <v>0.1</v>
      </c>
      <c r="F116" s="3310">
        <v>15</v>
      </c>
    </row>
    <row r="117" spans="1:6" ht="24">
      <c r="A117" s="2449">
        <v>43</v>
      </c>
      <c r="B117" s="5059"/>
      <c r="C117" s="2449" t="s">
        <v>2626</v>
      </c>
      <c r="D117" s="2429" t="s">
        <v>2627</v>
      </c>
      <c r="E117" s="3309">
        <v>0.1</v>
      </c>
      <c r="F117" s="3310">
        <v>15</v>
      </c>
    </row>
    <row r="118" spans="1:6" ht="24">
      <c r="A118" s="2449">
        <v>44</v>
      </c>
      <c r="B118" s="5060" t="s">
        <v>2628</v>
      </c>
      <c r="C118" s="2449" t="s">
        <v>2629</v>
      </c>
      <c r="D118" s="2429" t="s">
        <v>2630</v>
      </c>
      <c r="E118" s="3309">
        <v>0.1</v>
      </c>
      <c r="F118" s="3310">
        <v>15</v>
      </c>
    </row>
    <row r="119" spans="1:6" ht="24">
      <c r="A119" s="2449">
        <v>45</v>
      </c>
      <c r="B119" s="5061"/>
      <c r="C119" s="2429" t="s">
        <v>2631</v>
      </c>
      <c r="D119" s="2429" t="s">
        <v>2632</v>
      </c>
      <c r="E119" s="3309">
        <v>0.1</v>
      </c>
      <c r="F119" s="3310">
        <v>15</v>
      </c>
    </row>
    <row r="120" spans="1:6" ht="24">
      <c r="A120" s="2449">
        <v>46</v>
      </c>
      <c r="B120" s="5060" t="s">
        <v>2633</v>
      </c>
      <c r="C120" s="2449" t="s">
        <v>2634</v>
      </c>
      <c r="D120" s="2429" t="s">
        <v>2635</v>
      </c>
      <c r="E120" s="3309">
        <v>0.1</v>
      </c>
      <c r="F120" s="3310">
        <v>15</v>
      </c>
    </row>
    <row r="121" spans="1:6" ht="24">
      <c r="A121" s="2449">
        <v>47</v>
      </c>
      <c r="B121" s="5061"/>
      <c r="C121" s="2449" t="s">
        <v>2636</v>
      </c>
      <c r="D121" s="2429" t="s">
        <v>2637</v>
      </c>
      <c r="E121" s="3309">
        <v>0.1</v>
      </c>
      <c r="F121" s="3310">
        <v>15</v>
      </c>
    </row>
    <row r="122" spans="1:6" ht="24">
      <c r="A122" s="2449">
        <v>48</v>
      </c>
      <c r="B122" s="5060" t="s">
        <v>2638</v>
      </c>
      <c r="C122" s="2449" t="s">
        <v>2639</v>
      </c>
      <c r="D122" s="2429" t="s">
        <v>2640</v>
      </c>
      <c r="E122" s="3309">
        <v>0.1</v>
      </c>
      <c r="F122" s="3310">
        <v>15</v>
      </c>
    </row>
    <row r="123" spans="1:6" ht="24">
      <c r="A123" s="2449">
        <v>49</v>
      </c>
      <c r="B123" s="5061"/>
      <c r="C123" s="2449" t="s">
        <v>2641</v>
      </c>
      <c r="D123" s="2429" t="s">
        <v>2642</v>
      </c>
      <c r="E123" s="3309">
        <v>0.1</v>
      </c>
      <c r="F123" s="3310">
        <v>15</v>
      </c>
    </row>
    <row r="124" spans="1:6" ht="24">
      <c r="A124" s="2449">
        <v>50</v>
      </c>
      <c r="B124" s="5059" t="s">
        <v>2643</v>
      </c>
      <c r="C124" s="2449" t="s">
        <v>2644</v>
      </c>
      <c r="D124" s="2429" t="s">
        <v>2645</v>
      </c>
      <c r="E124" s="3309">
        <v>0.1</v>
      </c>
      <c r="F124" s="3310">
        <v>15</v>
      </c>
    </row>
    <row r="125" spans="1:6" ht="24">
      <c r="A125" s="2449">
        <v>51</v>
      </c>
      <c r="B125" s="5059"/>
      <c r="C125" s="2449" t="s">
        <v>2646</v>
      </c>
      <c r="D125" s="2429" t="s">
        <v>2647</v>
      </c>
      <c r="E125" s="3309">
        <v>0.1</v>
      </c>
      <c r="F125" s="3310">
        <v>15</v>
      </c>
    </row>
    <row r="126" spans="1:6" ht="24">
      <c r="A126" s="2449">
        <v>52</v>
      </c>
      <c r="B126" s="5059" t="s">
        <v>2648</v>
      </c>
      <c r="C126" s="2449" t="s">
        <v>2649</v>
      </c>
      <c r="D126" s="2429" t="s">
        <v>2650</v>
      </c>
      <c r="E126" s="3309">
        <v>0.1</v>
      </c>
      <c r="F126" s="3310">
        <v>15</v>
      </c>
    </row>
    <row r="127" spans="1:6" ht="24">
      <c r="A127" s="2449">
        <v>53</v>
      </c>
      <c r="B127" s="5059"/>
      <c r="C127" s="2449" t="s">
        <v>2651</v>
      </c>
      <c r="D127" s="2429" t="s">
        <v>2652</v>
      </c>
      <c r="E127" s="3309">
        <v>0.1</v>
      </c>
      <c r="F127" s="3310">
        <v>15</v>
      </c>
    </row>
    <row r="128" spans="1:6" ht="24">
      <c r="A128" s="2449">
        <v>54</v>
      </c>
      <c r="B128" s="2449" t="s">
        <v>2653</v>
      </c>
      <c r="C128" s="2449" t="s">
        <v>2654</v>
      </c>
      <c r="D128" s="2429" t="s">
        <v>2655</v>
      </c>
      <c r="E128" s="3309">
        <v>0.1</v>
      </c>
      <c r="F128" s="3310">
        <v>15</v>
      </c>
    </row>
    <row r="129" spans="1:6" ht="24">
      <c r="A129" s="2449">
        <v>55</v>
      </c>
      <c r="B129" s="5059" t="s">
        <v>2656</v>
      </c>
      <c r="C129" s="2449" t="s">
        <v>2657</v>
      </c>
      <c r="D129" s="2429" t="s">
        <v>2658</v>
      </c>
      <c r="E129" s="3309">
        <v>0.1</v>
      </c>
      <c r="F129" s="3310">
        <v>15</v>
      </c>
    </row>
    <row r="130" spans="1:6" ht="24">
      <c r="A130" s="2449">
        <v>56</v>
      </c>
      <c r="B130" s="5059"/>
      <c r="C130" s="2449" t="s">
        <v>2659</v>
      </c>
      <c r="D130" s="2429" t="s">
        <v>2660</v>
      </c>
      <c r="E130" s="3309">
        <v>0.1</v>
      </c>
      <c r="F130" s="3310">
        <v>15</v>
      </c>
    </row>
    <row r="131" spans="1:6" ht="24">
      <c r="A131" s="2449">
        <v>57</v>
      </c>
      <c r="B131" s="5059"/>
      <c r="C131" s="2449" t="s">
        <v>2661</v>
      </c>
      <c r="D131" s="2429" t="s">
        <v>2662</v>
      </c>
      <c r="E131" s="3309">
        <v>0.1</v>
      </c>
      <c r="F131" s="3310">
        <v>15</v>
      </c>
    </row>
    <row r="132" spans="1:6" ht="24">
      <c r="A132" s="2449">
        <v>58</v>
      </c>
      <c r="B132" s="5059" t="s">
        <v>2663</v>
      </c>
      <c r="C132" s="2449" t="s">
        <v>2664</v>
      </c>
      <c r="D132" s="2429" t="s">
        <v>2665</v>
      </c>
      <c r="E132" s="3309">
        <v>0.1</v>
      </c>
      <c r="F132" s="3310">
        <v>15</v>
      </c>
    </row>
    <row r="133" spans="1:6" ht="24">
      <c r="A133" s="2449">
        <v>59</v>
      </c>
      <c r="B133" s="5059"/>
      <c r="C133" s="2449" t="s">
        <v>2666</v>
      </c>
      <c r="D133" s="2429" t="s">
        <v>2667</v>
      </c>
      <c r="E133" s="3309">
        <v>0.1</v>
      </c>
      <c r="F133" s="3310">
        <v>15</v>
      </c>
    </row>
    <row r="134" spans="1:6" ht="24">
      <c r="A134" s="2449">
        <v>60</v>
      </c>
      <c r="B134" s="5060" t="s">
        <v>2668</v>
      </c>
      <c r="C134" s="2449" t="s">
        <v>2669</v>
      </c>
      <c r="D134" s="2429" t="s">
        <v>2670</v>
      </c>
      <c r="E134" s="3309">
        <v>0.1</v>
      </c>
      <c r="F134" s="3310">
        <v>15</v>
      </c>
    </row>
    <row r="135" spans="1:6" ht="24">
      <c r="A135" s="2449">
        <v>61</v>
      </c>
      <c r="B135" s="5061"/>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24">
      <c r="A137" s="2449">
        <v>63</v>
      </c>
      <c r="B137" s="5059" t="s">
        <v>2676</v>
      </c>
      <c r="C137" s="2449" t="s">
        <v>2677</v>
      </c>
      <c r="D137" s="2429" t="s">
        <v>2678</v>
      </c>
      <c r="E137" s="3309">
        <v>0.1</v>
      </c>
      <c r="F137" s="3310">
        <v>15</v>
      </c>
    </row>
    <row r="138" spans="1:6" ht="24">
      <c r="A138" s="2449">
        <v>64</v>
      </c>
      <c r="B138" s="5059"/>
      <c r="C138" s="2449" t="s">
        <v>2679</v>
      </c>
      <c r="D138" s="2429" t="s">
        <v>2680</v>
      </c>
      <c r="E138" s="3309">
        <v>0.1</v>
      </c>
      <c r="F138" s="3310">
        <v>15</v>
      </c>
    </row>
    <row r="139" spans="1:6" ht="24">
      <c r="A139" s="2449">
        <v>65</v>
      </c>
      <c r="B139" s="2449" t="s">
        <v>2681</v>
      </c>
      <c r="C139" s="2449" t="s">
        <v>2682</v>
      </c>
      <c r="D139" s="2429" t="s">
        <v>2683</v>
      </c>
      <c r="E139" s="3309">
        <v>0.1</v>
      </c>
      <c r="F139" s="3310">
        <v>15</v>
      </c>
    </row>
    <row r="140" spans="1:6" ht="14.4">
      <c r="A140" s="2449"/>
      <c r="B140" s="2449"/>
      <c r="C140" s="2449"/>
      <c r="D140" s="2449"/>
      <c r="E140" s="2449" t="s">
        <v>2684</v>
      </c>
      <c r="F140" s="2449"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2"/>
    <col min="14" max="16384" width="9" style="533"/>
  </cols>
  <sheetData>
    <row r="1" spans="1:20" ht="16.2"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22737</v>
      </c>
      <c r="C2" s="2" t="s">
        <v>104</v>
      </c>
      <c r="D2" s="98"/>
      <c r="E2" s="98"/>
      <c r="F2" s="98"/>
      <c r="G2" s="98"/>
    </row>
    <row r="3" spans="1:7" s="99" customFormat="1" ht="18" customHeight="1" thickBot="1">
      <c r="A3" s="102" t="s">
        <v>56</v>
      </c>
      <c r="B3" s="103">
        <f ca="1">ROUND(B2*10000/'数据-汇总表'!E3,0)</f>
        <v>5393027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42.16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42.16</v>
      </c>
      <c r="E19" s="110">
        <f>'数据-取费表'!B31</f>
        <v>265</v>
      </c>
      <c r="F19" s="130"/>
      <c r="G19" s="1" t="s">
        <v>430</v>
      </c>
    </row>
    <row r="20" spans="1:7" s="113" customFormat="1" ht="13.5" customHeight="1">
      <c r="A20" s="537" t="s">
        <v>413</v>
      </c>
      <c r="B20" s="109" t="s">
        <v>75</v>
      </c>
      <c r="C20" s="131">
        <f>ROUND((C5+C19)*F20,0)</f>
        <v>206</v>
      </c>
      <c r="D20" s="131"/>
      <c r="E20" s="131"/>
      <c r="F20" s="132">
        <f>'数据-取费表'!B38</f>
        <v>0.01</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621</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3</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6.4">
      <c r="A27" s="537" t="s">
        <v>340</v>
      </c>
      <c r="B27" s="143" t="s">
        <v>83</v>
      </c>
      <c r="C27" s="144">
        <f>C28</f>
        <v>1041</v>
      </c>
      <c r="D27" s="134">
        <f>C29</f>
        <v>5.0000000000000001E-4</v>
      </c>
      <c r="E27" s="135" t="s">
        <v>97</v>
      </c>
      <c r="F27" s="145">
        <f>'数据-取费表'!Q16</f>
        <v>0.05</v>
      </c>
      <c r="G27" s="146" t="s">
        <v>425</v>
      </c>
    </row>
    <row r="28" spans="1:7" s="113" customFormat="1" ht="13.5" customHeight="1">
      <c r="A28" s="540" t="s">
        <v>347</v>
      </c>
      <c r="B28" s="147" t="s">
        <v>418</v>
      </c>
      <c r="C28" s="148">
        <f>ROUND((C5+C19+C20)*F27*'数据-取费表'!B21/'数据-取费表'!B20,0)</f>
        <v>1041</v>
      </c>
      <c r="D28" s="134"/>
      <c r="E28" s="135"/>
      <c r="F28" s="145"/>
      <c r="G28" s="146"/>
    </row>
    <row r="29" spans="1:7" s="113" customFormat="1" ht="13.5" customHeight="1">
      <c r="A29" s="540" t="s">
        <v>345</v>
      </c>
      <c r="B29" s="147" t="s">
        <v>419</v>
      </c>
      <c r="C29" s="137">
        <f>ROUND(C21*F27*'数据-取费表'!B21/'数据-取费表'!B20,4)</f>
        <v>5.0000000000000001E-4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22722</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15</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0.02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v>
      </c>
      <c r="D37" s="116">
        <f>'数据-汇总表'!E3</f>
        <v>42.16</v>
      </c>
      <c r="E37" s="148">
        <f>'数据-取费表'!B35</f>
        <v>300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0</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62" t="s">
        <v>92</v>
      </c>
    </row>
    <row r="43" spans="1:7" ht="13.5" customHeight="1">
      <c r="A43" s="540" t="s">
        <v>345</v>
      </c>
      <c r="B43" s="114" t="s">
        <v>420</v>
      </c>
      <c r="C43" s="137">
        <f ca="1">ROUND(IF('数据-取费表'!B22&lt;=1,C39*F22*'数据-取费表'!B21/2,C39*(POWER((1+F22),'数据-取费表'!B21/2)-1)),0)</f>
        <v>0</v>
      </c>
      <c r="D43" s="137"/>
      <c r="E43" s="137"/>
      <c r="F43" s="138"/>
      <c r="G43" s="4911"/>
    </row>
    <row r="44" spans="1:7" ht="13.5" customHeight="1">
      <c r="A44" s="540" t="s">
        <v>346</v>
      </c>
      <c r="B44" s="114" t="s">
        <v>422</v>
      </c>
      <c r="C44" s="137">
        <f ca="1">ROUND(IF('数据-取费表'!B22&lt;=1,C40*F22*'数据-取费表'!B21/2,C40*(POWER((1+F22),'数据-取费表'!B21/2)-1)),4)</f>
        <v>2.0000000000000001E-4</v>
      </c>
      <c r="D44" s="137"/>
      <c r="E44" s="137"/>
      <c r="F44" s="138"/>
      <c r="G44" s="4863"/>
    </row>
    <row r="45" spans="1:7" s="113" customFormat="1" ht="13.5" customHeight="1">
      <c r="A45" s="537" t="s">
        <v>339</v>
      </c>
      <c r="B45" s="143" t="s">
        <v>83</v>
      </c>
      <c r="C45" s="144">
        <f>C46</f>
        <v>1</v>
      </c>
      <c r="D45" s="134">
        <f>C47</f>
        <v>5.0000000000000001E-4</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5.0000000000000001E-4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17</v>
      </c>
      <c r="D49" s="131"/>
      <c r="E49" s="131"/>
      <c r="F49" s="163"/>
      <c r="G49" s="133" t="s">
        <v>429</v>
      </c>
    </row>
    <row r="50" spans="1:7" s="157" customFormat="1" ht="24">
      <c r="A50" s="537" t="s">
        <v>342</v>
      </c>
      <c r="B50" s="109" t="s">
        <v>95</v>
      </c>
      <c r="C50" s="131"/>
      <c r="D50" s="131"/>
      <c r="E50" s="131"/>
      <c r="F50" s="163">
        <f>IF('数据-取费表'!B24=0,'数据-取费表'!N16,1)</f>
        <v>0.9</v>
      </c>
      <c r="G50" s="146" t="s">
        <v>96</v>
      </c>
    </row>
    <row r="51" spans="1:7" ht="16.5" customHeight="1">
      <c r="A51" s="537" t="s">
        <v>343</v>
      </c>
      <c r="B51" s="109" t="s">
        <v>103</v>
      </c>
      <c r="C51" s="131">
        <f ca="1">ROUND(C49*F50,0)</f>
        <v>15</v>
      </c>
      <c r="D51" s="131"/>
      <c r="E51" s="131"/>
      <c r="F51" s="163"/>
      <c r="G51" s="133" t="s">
        <v>35</v>
      </c>
    </row>
    <row r="52" spans="1:7" s="107" customFormat="1" ht="16.8" thickBot="1">
      <c r="A52" s="164" t="s">
        <v>36</v>
      </c>
      <c r="B52" s="165"/>
      <c r="C52" s="166">
        <f ca="1">C31+C51</f>
        <v>22737</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3" t="s">
        <v>3068</v>
      </c>
      <c r="B1" s="5073"/>
    </row>
    <row r="2" spans="1:7" ht="15" thickBot="1">
      <c r="A2" s="2569"/>
      <c r="B2" s="2569"/>
    </row>
    <row r="3" spans="1:7" ht="15" thickBot="1">
      <c r="A3" s="2569"/>
      <c r="B3" s="2569"/>
      <c r="C3" s="2570" t="s">
        <v>2698</v>
      </c>
      <c r="D3" s="2570" t="s">
        <v>2754</v>
      </c>
      <c r="E3" s="2570" t="s">
        <v>2700</v>
      </c>
      <c r="F3" s="2570" t="s">
        <v>2755</v>
      </c>
      <c r="G3" s="2570" t="s">
        <v>2518</v>
      </c>
    </row>
    <row r="4" spans="1:7" ht="1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4" t="s">
        <v>3119</v>
      </c>
      <c r="B1" s="5074"/>
      <c r="C1" s="5074"/>
      <c r="D1" s="5074"/>
      <c r="E1" s="5074"/>
      <c r="F1" s="5075"/>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9">
        <f>基准地价修正!G23</f>
        <v>46093</v>
      </c>
      <c r="B1" s="2528" t="s">
        <v>3262</v>
      </c>
      <c r="C1" s="2529"/>
      <c r="D1" s="2529"/>
      <c r="E1" s="2529"/>
      <c r="F1" s="2529"/>
      <c r="G1" s="2529"/>
      <c r="H1" s="2529"/>
      <c r="I1" s="2529"/>
      <c r="J1" s="2495"/>
      <c r="K1" s="2529" t="s">
        <v>448</v>
      </c>
      <c r="L1" s="2529"/>
      <c r="M1" s="2529"/>
      <c r="N1" s="2529"/>
      <c r="O1" s="2529"/>
      <c r="P1" s="2529"/>
      <c r="Q1" s="2495"/>
      <c r="R1" s="5076" t="s">
        <v>450</v>
      </c>
      <c r="S1" s="5077"/>
      <c r="T1" s="5077"/>
      <c r="U1" s="5077"/>
      <c r="V1" s="5077"/>
      <c r="W1" s="5077"/>
      <c r="X1" s="2495"/>
      <c r="Y1" s="5076" t="s">
        <v>451</v>
      </c>
      <c r="Z1" s="5077"/>
      <c r="AA1" s="5077"/>
      <c r="AB1" s="5077"/>
      <c r="AC1" s="5077"/>
      <c r="AD1" s="5077"/>
    </row>
    <row r="2" spans="1:44" s="2474" customFormat="1" ht="1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3.2">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3.2">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3.2">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3.2">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3.2">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3.2">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3.2">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3.2">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3.2">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3.2">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3.2">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3.2">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3.2">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3.2">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3.2">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3.2">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3.2">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3.2">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3.2">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3.2">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3.2">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3.2">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3.2">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5" thickTop="1"/>
    <row r="30" spans="1:44" s="2373" customFormat="1">
      <c r="A30" s="2715" t="s">
        <v>3265</v>
      </c>
    </row>
    <row r="31" spans="1:44" s="2373" customFormat="1">
      <c r="I31" s="2526" t="s">
        <v>2712</v>
      </c>
    </row>
    <row r="32" spans="1:44" s="2373" customFormat="1"/>
    <row r="33" spans="1:44" s="2527" customFormat="1" ht="13.2">
      <c r="B33" s="2528" t="s">
        <v>3263</v>
      </c>
      <c r="C33" s="2529"/>
      <c r="D33" s="2529"/>
      <c r="E33" s="2529"/>
      <c r="F33" s="2529"/>
      <c r="G33" s="2529"/>
      <c r="H33" s="2529"/>
      <c r="I33" s="2529"/>
      <c r="J33" s="2495"/>
      <c r="K33" s="2529" t="s">
        <v>2713</v>
      </c>
      <c r="L33" s="2529"/>
      <c r="M33" s="2529"/>
      <c r="N33" s="2529"/>
      <c r="O33" s="2529"/>
      <c r="P33" s="2529"/>
      <c r="Q33" s="2495"/>
      <c r="R33" s="5076" t="s">
        <v>2714</v>
      </c>
      <c r="S33" s="5077"/>
      <c r="T33" s="5077"/>
      <c r="U33" s="5077"/>
      <c r="V33" s="5077"/>
      <c r="W33" s="5077"/>
      <c r="X33" s="2495"/>
      <c r="Y33" s="5076" t="s">
        <v>2715</v>
      </c>
      <c r="Z33" s="5077"/>
      <c r="AA33" s="5077"/>
      <c r="AB33" s="5077"/>
      <c r="AC33" s="5077"/>
      <c r="AD33" s="5077"/>
    </row>
    <row r="34" spans="1:44" s="2474" customFormat="1" ht="1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3.2">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3.2">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3.2">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3.2">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3.2">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3.2">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3.2">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3.2">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3.2">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3.2">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3.2">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3.2">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3.2">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3.2">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3.2">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3.2">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3.2">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3.2">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3.2">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3.2">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3.2">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3.2">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3.2">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3" t="s">
        <v>446</v>
      </c>
      <c r="C1" s="5083"/>
      <c r="D1" s="5083"/>
      <c r="E1" s="5083"/>
      <c r="F1" s="5083"/>
      <c r="G1" s="5082" t="s">
        <v>447</v>
      </c>
      <c r="H1" s="5082"/>
      <c r="I1" s="5082"/>
      <c r="J1" s="5082"/>
      <c r="K1" s="5082"/>
      <c r="L1" s="5082"/>
      <c r="N1" s="5082" t="s">
        <v>448</v>
      </c>
      <c r="O1" s="5082"/>
      <c r="P1" s="5082"/>
      <c r="Q1" s="5082"/>
      <c r="S1" s="5082" t="s">
        <v>449</v>
      </c>
      <c r="T1" s="5082"/>
      <c r="U1" s="5082"/>
      <c r="V1" s="5082"/>
      <c r="X1" s="5081" t="s">
        <v>450</v>
      </c>
      <c r="Y1" s="5082"/>
      <c r="Z1" s="5082"/>
      <c r="AA1" s="5082"/>
      <c r="AB1" s="5082"/>
      <c r="AD1" s="5081" t="s">
        <v>451</v>
      </c>
      <c r="AE1" s="5082"/>
      <c r="AF1" s="5082"/>
      <c r="AG1" s="5082"/>
      <c r="AH1" s="5082"/>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9">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9"/>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9"/>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8"/>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84">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9"/>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9"/>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8"/>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4">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9"/>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9"/>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80"/>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8">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9"/>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9"/>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80"/>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8">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9"/>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9"/>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80"/>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5">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6"/>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6"/>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7"/>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8">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9"/>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9"/>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80"/>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8">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9">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9">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80">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8">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9">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9">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80">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8">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9">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9">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80">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8">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9">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9">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80">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8">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9">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9">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80">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8">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9">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9">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80">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8">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9">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9">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80">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8">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9">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9">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80">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8">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9">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9">
        <v>2003</v>
      </c>
      <c r="H83" s="3209">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80">
        <v>2003</v>
      </c>
      <c r="H84" s="3217">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8">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9">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9">
        <v>2002</v>
      </c>
      <c r="H87" s="3209">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80">
        <v>2002</v>
      </c>
      <c r="H88" s="3218">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1" t="s">
        <v>2726</v>
      </c>
      <c r="B1" s="5091"/>
      <c r="C1" s="5091"/>
      <c r="D1" s="5091"/>
      <c r="E1" s="5091"/>
      <c r="F1" s="5091"/>
      <c r="G1" s="5092"/>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1.4"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89"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1.4" thickBot="1">
      <c r="A4" s="5090"/>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1.4"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1.4"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1.4"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4623">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1.4"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1.4"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1.4"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65" t="str">
        <f>IF(项目基本情况!B9="房地产市场价值","估价结果一览表","结果表-2")</f>
        <v>结果表-2</v>
      </c>
      <c r="B1" s="4665"/>
      <c r="C1" s="4665"/>
      <c r="D1" s="4665"/>
      <c r="E1" s="4665"/>
      <c r="F1" s="4665"/>
      <c r="G1" s="4665"/>
      <c r="H1" s="4665"/>
      <c r="I1" s="4665"/>
    </row>
    <row r="2" spans="1:9" ht="30" customHeight="1" thickTop="1">
      <c r="A2" s="4666" t="s">
        <v>912</v>
      </c>
      <c r="B2" s="4666" t="s">
        <v>913</v>
      </c>
      <c r="C2" s="4666" t="s">
        <v>914</v>
      </c>
      <c r="D2" s="4666" t="str">
        <f>结果表!D116</f>
        <v>出让国有建设用地使用权价值</v>
      </c>
      <c r="E2" s="4666"/>
      <c r="F2" s="4666">
        <f>结果表!F116</f>
        <v>0</v>
      </c>
      <c r="G2" s="4666"/>
      <c r="H2" s="4666" t="str">
        <f>IF(项目基本情况!B9="房地产市场价值","房地产市场价值","房地产价值")</f>
        <v>房地产价值</v>
      </c>
      <c r="I2" s="4666"/>
    </row>
    <row r="3" spans="1:9" ht="15.6">
      <c r="A3" s="4661"/>
      <c r="B3" s="4661"/>
      <c r="C3" s="4661"/>
      <c r="D3" s="577" t="s">
        <v>909</v>
      </c>
      <c r="E3" s="577" t="s">
        <v>915</v>
      </c>
      <c r="F3" s="577" t="s">
        <v>909</v>
      </c>
      <c r="G3" s="577" t="s">
        <v>910</v>
      </c>
      <c r="H3" s="577" t="s">
        <v>909</v>
      </c>
      <c r="I3" s="577" t="s">
        <v>910</v>
      </c>
    </row>
    <row r="4" spans="1:9" ht="15">
      <c r="A4" s="1111" t="str">
        <f>项目基本情况!S2</f>
        <v>北京市房地产</v>
      </c>
      <c r="B4" s="577">
        <f>项目基本情况!C17</f>
        <v>42.16</v>
      </c>
      <c r="C4" s="577">
        <f>项目基本情况!C18</f>
        <v>0</v>
      </c>
      <c r="D4" s="577" t="e">
        <f ca="1">结果表!E118</f>
        <v>#REF!</v>
      </c>
      <c r="E4" s="577" t="e">
        <f ca="1">结果表!D118</f>
        <v>#REF!</v>
      </c>
      <c r="F4" s="577" t="e">
        <f ca="1">结果表!G118</f>
        <v>#REF!</v>
      </c>
      <c r="G4" s="577" t="e">
        <f ca="1">结果表!F118</f>
        <v>#REF!</v>
      </c>
      <c r="H4" s="577">
        <f ca="1">结果表!I118</f>
        <v>12.841900000000001</v>
      </c>
      <c r="I4" s="577">
        <f ca="1">结果表!H118</f>
        <v>722486</v>
      </c>
    </row>
    <row r="5" spans="1:9" ht="30" customHeight="1">
      <c r="A5" s="4661" t="s">
        <v>911</v>
      </c>
      <c r="B5" s="4661"/>
      <c r="C5" s="4661"/>
      <c r="D5" s="4661" t="e">
        <f ca="1">结果表!D119</f>
        <v>#REF!</v>
      </c>
      <c r="E5" s="4661"/>
      <c r="F5" s="4661" t="e">
        <f ca="1">结果表!F119</f>
        <v>#REF!</v>
      </c>
      <c r="G5" s="4661"/>
      <c r="H5" s="4661" t="str">
        <f ca="1">结果表!H119</f>
        <v>壹拾贰万捌仟肆佰壹拾玖元整</v>
      </c>
      <c r="I5" s="4661"/>
    </row>
    <row r="6" spans="1:9" ht="15.6">
      <c r="A6" s="4660" t="str">
        <f>结果表!A120</f>
        <v>估价师知悉的法定优先受偿款</v>
      </c>
      <c r="B6" s="4660"/>
      <c r="C6" s="4660"/>
      <c r="D6" s="4660">
        <f>结果表!H120</f>
        <v>0</v>
      </c>
      <c r="E6" s="4660"/>
      <c r="F6" s="4660"/>
      <c r="G6" s="4660"/>
      <c r="H6" s="4660"/>
      <c r="I6" s="4660"/>
    </row>
    <row r="7" spans="1:9" ht="15">
      <c r="A7" s="4661" t="s">
        <v>911</v>
      </c>
      <c r="B7" s="4661"/>
      <c r="C7" s="4661"/>
      <c r="D7" s="4662" t="str">
        <f>结果表!H121</f>
        <v>零元整</v>
      </c>
      <c r="E7" s="4663"/>
      <c r="F7" s="4663"/>
      <c r="G7" s="4663"/>
      <c r="H7" s="4663"/>
      <c r="I7" s="4664"/>
    </row>
    <row r="8" spans="1:9" ht="15.6">
      <c r="A8" s="4660" t="str">
        <f>结果表!A122</f>
        <v>房地产抵押价值</v>
      </c>
      <c r="B8" s="4660"/>
      <c r="C8" s="4660"/>
      <c r="D8" s="4660">
        <f ca="1">结果表!H122</f>
        <v>12.841900000000001</v>
      </c>
      <c r="E8" s="4660"/>
      <c r="F8" s="4660"/>
      <c r="G8" s="4660"/>
      <c r="H8" s="4660"/>
      <c r="I8" s="4660"/>
    </row>
    <row r="9" spans="1:9" ht="15">
      <c r="A9" s="4661" t="s">
        <v>911</v>
      </c>
      <c r="B9" s="4661"/>
      <c r="C9" s="4661"/>
      <c r="D9" s="4661" t="str">
        <f ca="1">结果表!H123</f>
        <v>壹拾贰万捌仟肆佰壹拾玖元整</v>
      </c>
      <c r="E9" s="4661"/>
      <c r="F9" s="4661"/>
      <c r="G9" s="4661"/>
      <c r="H9" s="4661"/>
      <c r="I9" s="4661"/>
    </row>
    <row r="10" spans="1:9" ht="15.6">
      <c r="A10" s="4660" t="str">
        <f>结果表!A124</f>
        <v/>
      </c>
      <c r="B10" s="4660"/>
      <c r="C10" s="4660"/>
      <c r="D10" s="4660" t="str">
        <f>结果表!H124</f>
        <v>——</v>
      </c>
      <c r="E10" s="4660"/>
      <c r="F10" s="4660"/>
      <c r="G10" s="4660"/>
      <c r="H10" s="4660"/>
      <c r="I10" s="4660"/>
    </row>
    <row r="11" spans="1:9" ht="15">
      <c r="A11" s="4661" t="s">
        <v>911</v>
      </c>
      <c r="B11" s="4661"/>
      <c r="C11" s="4661"/>
      <c r="D11" s="4661" t="e">
        <f>结果表!H125</f>
        <v>#VALUE!</v>
      </c>
      <c r="E11" s="4661"/>
      <c r="F11" s="4661"/>
      <c r="G11" s="4661"/>
      <c r="H11" s="4661"/>
      <c r="I11" s="4661"/>
    </row>
    <row r="12" spans="1:9" ht="15.6">
      <c r="A12" s="4660" t="str">
        <f>结果表!A126</f>
        <v/>
      </c>
      <c r="B12" s="4660"/>
      <c r="C12" s="4660"/>
      <c r="D12" s="4660" t="str">
        <f>结果表!H126</f>
        <v>——</v>
      </c>
      <c r="E12" s="4660"/>
      <c r="F12" s="4660"/>
      <c r="G12" s="4660"/>
      <c r="H12" s="4660"/>
      <c r="I12" s="4660"/>
    </row>
    <row r="13" spans="1:9" ht="15.6" thickBot="1">
      <c r="A13" s="4658" t="s">
        <v>911</v>
      </c>
      <c r="B13" s="4658"/>
      <c r="C13" s="4658"/>
      <c r="D13" s="4658" t="e">
        <f>结果表!H127</f>
        <v>#VALUE!</v>
      </c>
      <c r="E13" s="4658"/>
      <c r="F13" s="4658"/>
      <c r="G13" s="4658"/>
      <c r="H13" s="4658"/>
      <c r="I13" s="4658"/>
    </row>
    <row r="14" spans="1:9" ht="14.4" thickTop="1">
      <c r="A14" s="4659" t="s">
        <v>916</v>
      </c>
      <c r="B14" s="4659"/>
      <c r="C14" s="4659"/>
      <c r="D14" s="4659"/>
      <c r="E14" s="4659"/>
      <c r="F14" s="4659"/>
      <c r="G14" s="4659"/>
      <c r="H14" s="4659"/>
      <c r="I14" s="4659"/>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46093</v>
      </c>
      <c r="D1" s="926" t="s">
        <v>597</v>
      </c>
      <c r="E1" s="3244">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5.6">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5.6">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5.6">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6.8">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5.6">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5.6">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5.6">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5.6">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5.6">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5.6">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73" t="s">
        <v>933</v>
      </c>
      <c r="B1" s="4673"/>
      <c r="C1" s="4673"/>
      <c r="D1" s="4673"/>
    </row>
    <row r="2" spans="1:4" ht="17.399999999999999">
      <c r="A2" s="4674" t="s">
        <v>917</v>
      </c>
      <c r="B2" s="4674"/>
      <c r="C2" s="4674"/>
      <c r="D2" s="4674"/>
    </row>
    <row r="3" spans="1:4" ht="17.399999999999999">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7.399999999999999">
      <c r="A6" s="4674" t="s">
        <v>923</v>
      </c>
      <c r="B6" s="4674"/>
      <c r="C6" s="4674"/>
      <c r="D6" s="4674"/>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75" t="s">
        <v>926</v>
      </c>
      <c r="B11" s="4667"/>
      <c r="C11" s="4667"/>
      <c r="D11" s="4667"/>
    </row>
    <row r="12" spans="1:4" ht="15.6">
      <c r="A12" s="46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2"/>
      <c r="C12" s="4672"/>
      <c r="D12" s="4672"/>
    </row>
    <row r="13" spans="1:4" ht="30" customHeight="1">
      <c r="A13" s="4667" t="str">
        <f>IF(项目基本情况!B8="抵押","3.抵押双方在办理抵押登记手续时，应使用本公司出具的正式《房地产评估报告》，特提醒报告使用者注意。","——")</f>
        <v>——</v>
      </c>
      <c r="B13" s="4672"/>
      <c r="C13" s="4672"/>
      <c r="D13" s="4672"/>
    </row>
    <row r="14" spans="1:4" ht="15.75" customHeight="1">
      <c r="A14" s="4667" t="str">
        <f>IF(项目基本情况!B8="抵押","4.本次评估估价师所知悉的法定优先受偿款情况说明如下：","——")</f>
        <v>——</v>
      </c>
      <c r="B14" s="4672"/>
      <c r="C14" s="4672"/>
      <c r="D14" s="4672"/>
    </row>
    <row r="15" spans="1:4" ht="42" customHeight="1">
      <c r="A15" s="4667" t="str">
        <f>IF(项目基本情况!B8="抵押","（1）"&amp;CONCATENATE(项目基本情况!L20,项目基本情况!L21,项目基本情况!L22),"——")</f>
        <v>——</v>
      </c>
      <c r="B15" s="4667"/>
      <c r="C15" s="4667"/>
      <c r="D15" s="4667"/>
    </row>
    <row r="16" spans="1:4" ht="30" customHeight="1">
      <c r="A16" s="4669" t="s">
        <v>927</v>
      </c>
      <c r="B16" s="4669"/>
      <c r="C16" s="4669"/>
      <c r="D16" s="4669"/>
    </row>
    <row r="17" spans="1:4" ht="144" customHeight="1">
      <c r="A17" s="4669" t="s">
        <v>928</v>
      </c>
      <c r="B17" s="4669"/>
      <c r="C17" s="4669"/>
      <c r="D17" s="4669"/>
    </row>
    <row r="18" spans="1:4" ht="15.75" customHeight="1">
      <c r="A18" s="4667" t="str">
        <f>IF(项目基本情况!B8="抵押",结果表!K120,"——")</f>
        <v>——</v>
      </c>
      <c r="B18" s="4667"/>
      <c r="C18" s="4667"/>
      <c r="D18" s="4667"/>
    </row>
    <row r="19" spans="1:4" ht="46.5" customHeight="1">
      <c r="A19" s="46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7"/>
      <c r="C19" s="4667"/>
      <c r="D19" s="4667"/>
    </row>
    <row r="20" spans="1:4" ht="57.75" customHeight="1">
      <c r="A20" s="46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7"/>
      <c r="C20" s="4667"/>
      <c r="D20" s="4667"/>
    </row>
    <row r="21" spans="1:4" ht="57.75" customHeight="1">
      <c r="A21" s="46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0"/>
      <c r="C21" s="4670"/>
      <c r="D21" s="4670"/>
    </row>
    <row r="22" spans="1:4" ht="18.75" customHeight="1">
      <c r="A22" s="4671" t="s">
        <v>929</v>
      </c>
      <c r="B22" s="4671"/>
      <c r="C22" s="4671"/>
      <c r="D22" s="4671"/>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68">
        <v>42551</v>
      </c>
      <c r="D31" s="466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81" t="s">
        <v>940</v>
      </c>
      <c r="B15" s="4676" t="s">
        <v>107</v>
      </c>
      <c r="C15" s="4677"/>
    </row>
    <row r="16" spans="1:7" ht="14.4">
      <c r="A16" s="4682"/>
      <c r="B16" s="4676" t="s">
        <v>40</v>
      </c>
      <c r="C16" s="4677"/>
    </row>
    <row r="17" spans="1:3" ht="14.4">
      <c r="A17" s="4682"/>
      <c r="B17" s="4679" t="s">
        <v>941</v>
      </c>
      <c r="C17" s="1138" t="s">
        <v>940</v>
      </c>
    </row>
    <row r="18" spans="1:3" ht="14.4">
      <c r="A18" s="4682"/>
      <c r="B18" s="4679"/>
      <c r="C18" s="1138" t="s">
        <v>942</v>
      </c>
    </row>
    <row r="19" spans="1:3" ht="14.4">
      <c r="A19" s="4682"/>
      <c r="B19" s="4679"/>
      <c r="C19" s="1138" t="s">
        <v>943</v>
      </c>
    </row>
    <row r="20" spans="1:3" ht="14.4">
      <c r="A20" s="4683"/>
      <c r="B20" s="4678" t="s">
        <v>944</v>
      </c>
      <c r="C20" s="4677"/>
    </row>
    <row r="21" spans="1:3" ht="14.4">
      <c r="A21" s="1139" t="s">
        <v>945</v>
      </c>
      <c r="B21" s="1140"/>
      <c r="C21" s="1141"/>
    </row>
    <row r="22" spans="1:3" ht="14.4">
      <c r="A22" s="4680" t="s">
        <v>946</v>
      </c>
      <c r="B22" s="4678" t="s">
        <v>947</v>
      </c>
      <c r="C22" s="4677"/>
    </row>
    <row r="23" spans="1:3" ht="14.4">
      <c r="A23" s="4680"/>
      <c r="B23" s="4678" t="s">
        <v>948</v>
      </c>
      <c r="C23" s="4677"/>
    </row>
    <row r="24" spans="1:3" ht="14.4">
      <c r="A24" s="4680"/>
      <c r="B24" s="4678" t="s">
        <v>949</v>
      </c>
      <c r="C24" s="4677"/>
    </row>
    <row r="25" spans="1:3" ht="14.4">
      <c r="A25" s="4680"/>
      <c r="B25" s="4679" t="s">
        <v>950</v>
      </c>
      <c r="C25" s="1138" t="s">
        <v>951</v>
      </c>
    </row>
    <row r="26" spans="1:3" ht="14.4">
      <c r="A26" s="4680"/>
      <c r="B26" s="4679"/>
      <c r="C26" s="1138" t="s">
        <v>952</v>
      </c>
    </row>
    <row r="27" spans="1:3" ht="14.4">
      <c r="A27" s="4680"/>
      <c r="B27" s="4679"/>
      <c r="C27" s="1138" t="s">
        <v>953</v>
      </c>
    </row>
    <row r="28" spans="1:3" ht="14.4">
      <c r="A28" s="4680"/>
      <c r="B28" s="4679"/>
      <c r="C28" s="1138" t="s">
        <v>954</v>
      </c>
    </row>
    <row r="29" spans="1:3" ht="14.4">
      <c r="A29" s="4680"/>
      <c r="B29" s="4679"/>
      <c r="C29" s="1138" t="s">
        <v>955</v>
      </c>
    </row>
    <row r="30" spans="1:3" ht="14.4">
      <c r="A30" s="4680"/>
      <c r="B30" s="4679"/>
      <c r="C30" s="1138" t="s">
        <v>956</v>
      </c>
    </row>
    <row r="31" spans="1:3" ht="14.4">
      <c r="A31" s="4680"/>
      <c r="B31" s="4679"/>
      <c r="C31" s="1138" t="s">
        <v>957</v>
      </c>
    </row>
    <row r="32" spans="1:3" ht="14.4">
      <c r="A32" s="4680"/>
      <c r="B32" s="4679"/>
      <c r="C32" s="1138" t="s">
        <v>958</v>
      </c>
    </row>
    <row r="33" spans="1:3" ht="14.4">
      <c r="A33" s="4680"/>
      <c r="B33" s="4679"/>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2041</v>
      </c>
      <c r="B2" s="1833">
        <f ca="1">TODAY()</f>
        <v>46122</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07">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07">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07">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07">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07">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08">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08">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07">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08">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07">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08">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08">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3972</v>
      </c>
      <c r="B16" s="928">
        <v>1120240051</v>
      </c>
      <c r="C16" s="4607"/>
      <c r="D16" s="1839" t="str">
        <f>A16&amp;"（注册号："&amp;B16&amp;"）"</f>
        <v>赵雯（注册号：1120240051）</v>
      </c>
      <c r="E16" s="1840"/>
      <c r="F16" s="928"/>
      <c r="G16" s="928"/>
      <c r="H16" s="1843" t="str">
        <f t="shared" si="1"/>
        <v>（注册号：）</v>
      </c>
    </row>
    <row r="17" spans="1:8" ht="24" customHeight="1">
      <c r="A17" s="4684" t="s">
        <v>2062</v>
      </c>
      <c r="B17" s="4684"/>
      <c r="C17" s="4684"/>
      <c r="D17" s="4684"/>
      <c r="E17" s="4684"/>
      <c r="F17" s="4684"/>
      <c r="G17" s="4684"/>
      <c r="H17" s="4684"/>
    </row>
    <row r="18" spans="1:8" ht="24" customHeight="1">
      <c r="A18" s="4685" t="s">
        <v>2063</v>
      </c>
      <c r="B18" s="4685"/>
      <c r="C18" s="4685"/>
      <c r="D18" s="1837"/>
      <c r="E18" s="4686" t="s">
        <v>2064</v>
      </c>
      <c r="F18" s="4685"/>
      <c r="G18" s="4685"/>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2026-04-10T09:50:08Z</dcterms:modified>
</cp:coreProperties>
</file>